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5" yWindow="4515" windowWidth="6660" windowHeight="4785" tabRatio="881" firstSheet="1" activeTab="5"/>
  </bookViews>
  <sheets>
    <sheet name="Index" sheetId="1" r:id="rId1"/>
    <sheet name="1 Key Financial Performance" sheetId="2" r:id="rId2"/>
    <sheet name="2 I&amp;E YTD" sheetId="3" r:id="rId3"/>
    <sheet name="3 Risks and Outturn" sheetId="4" state="hidden" r:id="rId4"/>
    <sheet name="3 QIPP Plan" sheetId="5" r:id="rId5"/>
    <sheet name="4 Forecast" sheetId="6" r:id="rId6"/>
    <sheet name="5 NHS Acute" sheetId="7" r:id="rId7"/>
    <sheet name="6 Non Acute" sheetId="8" r:id="rId8"/>
    <sheet name="7 Primary Care" sheetId="9" r:id="rId9"/>
    <sheet name="8 Public Health" sheetId="10" r:id="rId10"/>
    <sheet name="9 Balance Sheet" sheetId="13" r:id="rId11"/>
    <sheet name="10 Cash" sheetId="14" r:id="rId12"/>
    <sheet name="11 BPPC" sheetId="15" r:id="rId13"/>
    <sheet name="12 Aged Debtor Analysis " sheetId="16" r:id="rId14"/>
    <sheet name="13 Capital Expenditure" sheetId="17" r:id="rId15"/>
    <sheet name="Data lookup" sheetId="18" state="hidden" r:id="rId16"/>
    <sheet name="Data download" sheetId="19" state="hidden" r:id="rId17"/>
    <sheet name="SLA data" sheetId="20" state="hidden" r:id="rId18"/>
  </sheets>
  <externalReferences>
    <externalReference r:id="rId19"/>
  </externalReferences>
  <definedNames>
    <definedName name="_xlnm.Print_Area" localSheetId="13">'12 Aged Debtor Analysis '!$A$1:$N$74</definedName>
    <definedName name="_xlnm.Print_Area" localSheetId="5">'4 Forecast'!$A$1:$J$34</definedName>
    <definedName name="_xlnm.Print_Area" localSheetId="10">'9 Balance Sheet'!$A$9:$G$38</definedName>
    <definedName name="_xlnm.Print_Area" localSheetId="15">'Data lookup'!$B$119:$O$122</definedName>
    <definedName name="_xlnm.Print_Area" localSheetId="17">'SLA data'!#REF!</definedName>
    <definedName name="Z_14394872_1C6D_42D5_AD0E_8F152B5DEE00_.wvu.Cols" localSheetId="1" hidden="1">'1 Key Financial Performance'!$G:$H</definedName>
    <definedName name="Z_14394872_1C6D_42D5_AD0E_8F152B5DEE00_.wvu.PrintArea" localSheetId="13" hidden="1">'12 Aged Debtor Analysis '!$A$1:$N$74</definedName>
    <definedName name="Z_14394872_1C6D_42D5_AD0E_8F152B5DEE00_.wvu.PrintArea" localSheetId="5" hidden="1">'4 Forecast'!$A$1:$J$34</definedName>
    <definedName name="Z_14394872_1C6D_42D5_AD0E_8F152B5DEE00_.wvu.PrintArea" localSheetId="10" hidden="1">'9 Balance Sheet'!$A$9:$G$38</definedName>
    <definedName name="Z_14394872_1C6D_42D5_AD0E_8F152B5DEE00_.wvu.PrintArea" localSheetId="15" hidden="1">'Data lookup'!$B$119:$O$122</definedName>
  </definedNames>
  <calcPr calcId="125725"/>
  <customWorkbookViews>
    <customWorkbookView name="  - Personal View" guid="{14394872-1C6D-42D5-AD0E-8F152B5DEE00}" mergeInterval="0" personalView="1" maximized="1" windowWidth="1280" windowHeight="610" tabRatio="881" activeSheetId="18"/>
  </customWorkbookViews>
</workbook>
</file>

<file path=xl/calcChain.xml><?xml version="1.0" encoding="utf-8"?>
<calcChain xmlns="http://schemas.openxmlformats.org/spreadsheetml/2006/main">
  <c r="O133" i="18"/>
  <c r="N133"/>
  <c r="O132"/>
  <c r="N132"/>
  <c r="O127"/>
  <c r="N127"/>
  <c r="O126"/>
  <c r="N126"/>
  <c r="O121"/>
  <c r="N121"/>
  <c r="O120"/>
  <c r="N120"/>
  <c r="G110"/>
  <c r="F110"/>
  <c r="E110"/>
  <c r="D110"/>
  <c r="C110"/>
  <c r="B110"/>
  <c r="O109"/>
  <c r="G104"/>
  <c r="F104"/>
  <c r="E104"/>
  <c r="D104"/>
  <c r="C104"/>
  <c r="B104"/>
  <c r="O103"/>
  <c r="G98"/>
  <c r="F98"/>
  <c r="E98"/>
  <c r="D98"/>
  <c r="C98"/>
  <c r="B98"/>
  <c r="O97"/>
  <c r="O87"/>
  <c r="O82"/>
  <c r="O77"/>
  <c r="H54"/>
  <c r="G54"/>
  <c r="F54"/>
  <c r="E54"/>
  <c r="D54"/>
  <c r="C54"/>
  <c r="B54"/>
  <c r="C49"/>
  <c r="B49"/>
  <c r="D49" s="1"/>
  <c r="F44"/>
  <c r="E44"/>
  <c r="D44"/>
  <c r="C44"/>
  <c r="B44"/>
  <c r="F40"/>
  <c r="D40"/>
  <c r="C40"/>
  <c r="B40"/>
  <c r="G36"/>
  <c r="E36"/>
  <c r="D36"/>
  <c r="C36"/>
  <c r="B36"/>
  <c r="F36" s="1"/>
  <c r="C33"/>
  <c r="B33"/>
  <c r="D33" s="1"/>
  <c r="E28"/>
  <c r="D28"/>
  <c r="C28"/>
  <c r="B28"/>
  <c r="F28" s="1"/>
  <c r="F24"/>
  <c r="D24"/>
  <c r="C24"/>
  <c r="B24"/>
  <c r="G20"/>
  <c r="E20"/>
  <c r="D20"/>
  <c r="C20"/>
  <c r="B20"/>
  <c r="C17"/>
  <c r="B17"/>
  <c r="F12"/>
  <c r="E12"/>
  <c r="D12"/>
  <c r="C12"/>
  <c r="B12"/>
  <c r="G12" s="1"/>
  <c r="F8"/>
  <c r="D8"/>
  <c r="C8"/>
  <c r="B8"/>
  <c r="E8" s="1"/>
  <c r="G4"/>
  <c r="E4"/>
  <c r="D4"/>
  <c r="C4"/>
  <c r="B4"/>
  <c r="I57" i="17"/>
  <c r="F57"/>
  <c r="E57"/>
  <c r="I55"/>
  <c r="G55"/>
  <c r="I54"/>
  <c r="G54"/>
  <c r="I53"/>
  <c r="G53"/>
  <c r="I52"/>
  <c r="G52"/>
  <c r="I51"/>
  <c r="G51"/>
  <c r="I50"/>
  <c r="G50"/>
  <c r="I49"/>
  <c r="G49"/>
  <c r="I48"/>
  <c r="G48"/>
  <c r="I47"/>
  <c r="G47"/>
  <c r="I46"/>
  <c r="G46"/>
  <c r="I45"/>
  <c r="G45"/>
  <c r="I44"/>
  <c r="G44"/>
  <c r="I43"/>
  <c r="G43"/>
  <c r="I42"/>
  <c r="G42"/>
  <c r="I41"/>
  <c r="G41"/>
  <c r="I40"/>
  <c r="G40"/>
  <c r="I39"/>
  <c r="G39"/>
  <c r="G57" s="1"/>
  <c r="F32"/>
  <c r="G30"/>
  <c r="G29"/>
  <c r="G28"/>
  <c r="G27"/>
  <c r="E26"/>
  <c r="G26" s="1"/>
  <c r="G25"/>
  <c r="G24"/>
  <c r="G23"/>
  <c r="G22"/>
  <c r="G32" s="1"/>
  <c r="F15"/>
  <c r="E15"/>
  <c r="G13"/>
  <c r="G12"/>
  <c r="G11"/>
  <c r="G10"/>
  <c r="G15" s="1"/>
  <c r="A1"/>
  <c r="B65" i="16"/>
  <c r="D59"/>
  <c r="D61" s="1"/>
  <c r="C59"/>
  <c r="C61" s="1"/>
  <c r="B59"/>
  <c r="B61" s="1"/>
  <c r="E57"/>
  <c r="E56"/>
  <c r="E55"/>
  <c r="E54"/>
  <c r="E53"/>
  <c r="E50"/>
  <c r="E49"/>
  <c r="E59" s="1"/>
  <c r="E42"/>
  <c r="D40"/>
  <c r="D44" s="1"/>
  <c r="D65" s="1"/>
  <c r="C40"/>
  <c r="C44" s="1"/>
  <c r="C65" s="1"/>
  <c r="B40"/>
  <c r="E38"/>
  <c r="E37"/>
  <c r="E34"/>
  <c r="E33"/>
  <c r="E32"/>
  <c r="E31"/>
  <c r="E40" s="1"/>
  <c r="E44" s="1"/>
  <c r="D22"/>
  <c r="D24" s="1"/>
  <c r="C22"/>
  <c r="C24" s="1"/>
  <c r="B22"/>
  <c r="B24" s="1"/>
  <c r="E20"/>
  <c r="E17"/>
  <c r="E16"/>
  <c r="E15"/>
  <c r="E14"/>
  <c r="E22" s="1"/>
  <c r="E13"/>
  <c r="G37" i="13"/>
  <c r="E37"/>
  <c r="C37"/>
  <c r="G22"/>
  <c r="G24" s="1"/>
  <c r="G30" s="1"/>
  <c r="E22"/>
  <c r="C21"/>
  <c r="C19"/>
  <c r="C22" s="1"/>
  <c r="G15"/>
  <c r="E15"/>
  <c r="E24" s="1"/>
  <c r="E30" s="1"/>
  <c r="C15"/>
  <c r="G31" i="6"/>
  <c r="F31"/>
  <c r="E31"/>
  <c r="G23"/>
  <c r="F23"/>
  <c r="F34" s="1"/>
  <c r="E23"/>
  <c r="G15"/>
  <c r="G34" s="1"/>
  <c r="F15"/>
  <c r="E15"/>
  <c r="E34" s="1"/>
  <c r="A1"/>
  <c r="C20" i="5"/>
  <c r="B20"/>
  <c r="D19"/>
  <c r="D18"/>
  <c r="D17"/>
  <c r="D16"/>
  <c r="D15"/>
  <c r="D14"/>
  <c r="D20" s="1"/>
  <c r="C9"/>
  <c r="B9"/>
  <c r="D8"/>
  <c r="D7"/>
  <c r="D6"/>
  <c r="D9" s="1"/>
  <c r="F29" i="4"/>
  <c r="E23"/>
  <c r="D23"/>
  <c r="D29" s="1"/>
  <c r="E21"/>
  <c r="E17"/>
  <c r="E13"/>
  <c r="E29" s="1"/>
  <c r="Q34" i="3"/>
  <c r="K34"/>
  <c r="N32"/>
  <c r="H32"/>
  <c r="E32"/>
  <c r="M31"/>
  <c r="O31" s="1"/>
  <c r="P31" s="1"/>
  <c r="Q31" s="1"/>
  <c r="G31"/>
  <c r="G32" s="1"/>
  <c r="I32" s="1"/>
  <c r="J32" s="1"/>
  <c r="K32" s="1"/>
  <c r="E31"/>
  <c r="O30"/>
  <c r="P30" s="1"/>
  <c r="Q30" s="1"/>
  <c r="J30"/>
  <c r="K30" s="1"/>
  <c r="I30"/>
  <c r="O29"/>
  <c r="P29" s="1"/>
  <c r="Q29" s="1"/>
  <c r="J29"/>
  <c r="K29" s="1"/>
  <c r="I29"/>
  <c r="O28"/>
  <c r="P28" s="1"/>
  <c r="Q28" s="1"/>
  <c r="J28"/>
  <c r="K28" s="1"/>
  <c r="I28"/>
  <c r="O27"/>
  <c r="P27" s="1"/>
  <c r="Q27" s="1"/>
  <c r="J27"/>
  <c r="K27" s="1"/>
  <c r="I27"/>
  <c r="O26"/>
  <c r="P26" s="1"/>
  <c r="Q26" s="1"/>
  <c r="J26"/>
  <c r="K26" s="1"/>
  <c r="I26"/>
  <c r="Q24"/>
  <c r="N24"/>
  <c r="K24"/>
  <c r="G24"/>
  <c r="I24" s="1"/>
  <c r="O23"/>
  <c r="P23" s="1"/>
  <c r="Q23" s="1"/>
  <c r="M23"/>
  <c r="M24" s="1"/>
  <c r="O24" s="1"/>
  <c r="I23"/>
  <c r="J23" s="1"/>
  <c r="K23" s="1"/>
  <c r="G23"/>
  <c r="E23"/>
  <c r="E24" s="1"/>
  <c r="P22"/>
  <c r="Q22" s="1"/>
  <c r="O22"/>
  <c r="I22"/>
  <c r="J22" s="1"/>
  <c r="K22" s="1"/>
  <c r="P21"/>
  <c r="Q21" s="1"/>
  <c r="O21"/>
  <c r="I21"/>
  <c r="J21" s="1"/>
  <c r="K21" s="1"/>
  <c r="P20"/>
  <c r="Q20" s="1"/>
  <c r="O20"/>
  <c r="I20"/>
  <c r="J20" s="1"/>
  <c r="K20" s="1"/>
  <c r="P19"/>
  <c r="Q19" s="1"/>
  <c r="O19"/>
  <c r="I19"/>
  <c r="J19" s="1"/>
  <c r="K19" s="1"/>
  <c r="P18"/>
  <c r="Q18" s="1"/>
  <c r="O18"/>
  <c r="I18"/>
  <c r="J18" s="1"/>
  <c r="K18" s="1"/>
  <c r="N16"/>
  <c r="N34" s="1"/>
  <c r="H16"/>
  <c r="H34" s="1"/>
  <c r="G16"/>
  <c r="I16" s="1"/>
  <c r="O15"/>
  <c r="P15" s="1"/>
  <c r="Q15" s="1"/>
  <c r="M15"/>
  <c r="M16" s="1"/>
  <c r="I15"/>
  <c r="J15" s="1"/>
  <c r="K15" s="1"/>
  <c r="G15"/>
  <c r="E15"/>
  <c r="E16" s="1"/>
  <c r="E34" s="1"/>
  <c r="P14"/>
  <c r="Q14" s="1"/>
  <c r="O14"/>
  <c r="I14"/>
  <c r="J14" s="1"/>
  <c r="K14" s="1"/>
  <c r="P13"/>
  <c r="Q13" s="1"/>
  <c r="O13"/>
  <c r="I13"/>
  <c r="J13" s="1"/>
  <c r="K13" s="1"/>
  <c r="P12"/>
  <c r="Q12" s="1"/>
  <c r="O12"/>
  <c r="I12"/>
  <c r="J12" s="1"/>
  <c r="K12" s="1"/>
  <c r="P11"/>
  <c r="Q11" s="1"/>
  <c r="O11"/>
  <c r="I11"/>
  <c r="J11" s="1"/>
  <c r="K11" s="1"/>
  <c r="P10"/>
  <c r="Q10" s="1"/>
  <c r="O10"/>
  <c r="I10"/>
  <c r="J10" s="1"/>
  <c r="K10" s="1"/>
  <c r="A1" i="2"/>
  <c r="A1" i="15" s="1"/>
  <c r="G44" i="18" l="1"/>
  <c r="E40"/>
  <c r="F4"/>
  <c r="D17"/>
  <c r="F20"/>
  <c r="E24"/>
  <c r="O16" i="3"/>
  <c r="J16"/>
  <c r="K16" s="1"/>
  <c r="I34"/>
  <c r="E26" i="16"/>
  <c r="C24" i="13"/>
  <c r="C30" s="1"/>
  <c r="E24" i="16"/>
  <c r="E61"/>
  <c r="E63" s="1"/>
  <c r="M32" i="3"/>
  <c r="O32" s="1"/>
  <c r="P32" s="1"/>
  <c r="Q32" s="1"/>
  <c r="G34"/>
  <c r="A1" i="7"/>
  <c r="A1" i="9"/>
  <c r="A1" i="13"/>
  <c r="A1" i="14"/>
  <c r="A1" i="16"/>
  <c r="E32" i="17"/>
  <c r="A1" i="4"/>
  <c r="A1" i="3"/>
  <c r="A1" i="5" s="1"/>
  <c r="I31" i="3"/>
  <c r="J31" s="1"/>
  <c r="K31" s="1"/>
  <c r="A1" i="8"/>
  <c r="A1" i="10"/>
  <c r="O34" i="3" l="1"/>
  <c r="P16"/>
  <c r="Q16" s="1"/>
  <c r="E65" i="16"/>
  <c r="M34" i="3"/>
</calcChain>
</file>

<file path=xl/comments1.xml><?xml version="1.0" encoding="utf-8"?>
<comments xmlns="http://schemas.openxmlformats.org/spreadsheetml/2006/main">
  <authors>
    <author>Sean Bidewell</author>
  </authors>
  <commentList>
    <comment ref="M18" authorId="0">
      <text>
        <r>
          <rPr>
            <b/>
            <sz val="8"/>
            <color indexed="81"/>
            <rFont val="Tahoma"/>
            <family val="2"/>
          </rPr>
          <t>Sean Bidewell:</t>
        </r>
        <r>
          <rPr>
            <sz val="8"/>
            <color indexed="81"/>
            <rFont val="Tahoma"/>
            <family val="2"/>
          </rPr>
          <t xml:space="preserve">
Update</t>
        </r>
      </text>
    </comment>
  </commentList>
</comments>
</file>

<file path=xl/sharedStrings.xml><?xml version="1.0" encoding="utf-8"?>
<sst xmlns="http://schemas.openxmlformats.org/spreadsheetml/2006/main" count="1658" uniqueCount="482">
  <si>
    <t>RBS Average Cash Balance</t>
  </si>
  <si>
    <t>Total Cash Balance</t>
  </si>
  <si>
    <t>Average Cash Balance</t>
  </si>
  <si>
    <t>Target Cash Balance</t>
  </si>
  <si>
    <t>Description</t>
  </si>
  <si>
    <t xml:space="preserve">Acute </t>
  </si>
  <si>
    <t>Forecast Outturn Variance £'000</t>
  </si>
  <si>
    <t>Forecast Outturn Against Budget</t>
  </si>
  <si>
    <t>4) Forecast Outturn</t>
  </si>
  <si>
    <t>Forecast Outturn</t>
  </si>
  <si>
    <t>Primary Care - Ophthalmic</t>
  </si>
  <si>
    <t>Ophthalmic</t>
  </si>
  <si>
    <t>RED</t>
  </si>
  <si>
    <t>The budget includes an income target of £1m in respect of LAA targets for smoking and obesity. 2009/10 is the third and final year of the agreement and it is anticipated that the targets will be met in 2009/10 if the investment and performance is sustained.</t>
  </si>
  <si>
    <t>Ann Johnson</t>
  </si>
  <si>
    <t>Actual</t>
  </si>
  <si>
    <t>Direction of Travel</t>
  </si>
  <si>
    <t>Contingency</t>
  </si>
  <si>
    <t>Annual Budget</t>
  </si>
  <si>
    <t>YTD Budget</t>
  </si>
  <si>
    <t>↑</t>
  </si>
  <si>
    <t>Variance</t>
  </si>
  <si>
    <t>%</t>
  </si>
  <si>
    <t>Rating</t>
  </si>
  <si>
    <t>Revenue Resource Limit</t>
  </si>
  <si>
    <t>Prescribing</t>
  </si>
  <si>
    <t>Corporate</t>
  </si>
  <si>
    <t>Performance Target</t>
  </si>
  <si>
    <t>YTD Spend</t>
  </si>
  <si>
    <t>Acute NHS SLA</t>
  </si>
  <si>
    <t>Mental Health</t>
  </si>
  <si>
    <t>Primary Care - Prescribing</t>
  </si>
  <si>
    <t>Primary Care - Dental</t>
  </si>
  <si>
    <t>Older People</t>
  </si>
  <si>
    <t>Learning Disabilities</t>
  </si>
  <si>
    <t>Physical Disabilities</t>
  </si>
  <si>
    <t>Childrens Services</t>
  </si>
  <si>
    <t>Urgent Care</t>
  </si>
  <si>
    <t>Primary Care</t>
  </si>
  <si>
    <t>Corporate Management</t>
  </si>
  <si>
    <t>Finance</t>
  </si>
  <si>
    <t>Public Health</t>
  </si>
  <si>
    <t>Review of Performance</t>
  </si>
  <si>
    <t>THH</t>
  </si>
  <si>
    <t>Other</t>
  </si>
  <si>
    <t>Total</t>
  </si>
  <si>
    <t>Proposed Action</t>
  </si>
  <si>
    <t>IT</t>
  </si>
  <si>
    <t>£'000</t>
  </si>
  <si>
    <t>Fixed Assets</t>
  </si>
  <si>
    <t>Investments</t>
  </si>
  <si>
    <t>Total Fixed Assets</t>
  </si>
  <si>
    <t>Current Assets</t>
  </si>
  <si>
    <t>Stocks and Work in Progress</t>
  </si>
  <si>
    <t>Cash at Bank</t>
  </si>
  <si>
    <t>Net Current Assets / (Liabilities)</t>
  </si>
  <si>
    <t>Total Assets Employed</t>
  </si>
  <si>
    <t>Taxpayers Equity</t>
  </si>
  <si>
    <t>General Fund</t>
  </si>
  <si>
    <t>Revaluation Reserve</t>
  </si>
  <si>
    <t>Total Taxpayers Equity</t>
  </si>
  <si>
    <t xml:space="preserve"> </t>
  </si>
  <si>
    <t>Cash and Overdue Debtors</t>
  </si>
  <si>
    <t>Cash Draw Down</t>
  </si>
  <si>
    <t>Total Charge to Cash Limit</t>
  </si>
  <si>
    <t>Cash Limit</t>
  </si>
  <si>
    <t>Value %</t>
  </si>
  <si>
    <t>Number %</t>
  </si>
  <si>
    <t>Target %</t>
  </si>
  <si>
    <t>In Month Variance</t>
  </si>
  <si>
    <t>Budget</t>
  </si>
  <si>
    <t xml:space="preserve">Budget </t>
  </si>
  <si>
    <t>YTD Variance</t>
  </si>
  <si>
    <t>Debtors</t>
  </si>
  <si>
    <t>Creditors Falling Due Within One Year</t>
  </si>
  <si>
    <t>Creditors Falling Due After One Year</t>
  </si>
  <si>
    <t>Dental</t>
  </si>
  <si>
    <t>Green requires Input</t>
  </si>
  <si>
    <t>Assumption in Forecast</t>
  </si>
  <si>
    <t>Lower</t>
  </si>
  <si>
    <t>Most Likely</t>
  </si>
  <si>
    <t>Upper</t>
  </si>
  <si>
    <t>Risks to Financial Plan</t>
  </si>
  <si>
    <t>Accountable Director</t>
  </si>
  <si>
    <t>Acute Over-performance</t>
  </si>
  <si>
    <t>LAA Income</t>
  </si>
  <si>
    <t>Swine Flu Pandemic</t>
  </si>
  <si>
    <t>Value of Risk £'000</t>
  </si>
  <si>
    <t>Sexual Health</t>
  </si>
  <si>
    <t>Community Services</t>
  </si>
  <si>
    <t>GREEN</t>
  </si>
  <si>
    <t>1) Key financial Performance Targets and Headlines</t>
  </si>
  <si>
    <t>Total Assets Less Current Liabilities</t>
  </si>
  <si>
    <t>Provisions for Liabilities and Charges</t>
  </si>
  <si>
    <t>Year Average</t>
  </si>
  <si>
    <t>To maintain cash spending within the cash limit (£'000)</t>
  </si>
  <si>
    <t>Index</t>
  </si>
  <si>
    <t>Key Financial Performance Targets and Headlines</t>
  </si>
  <si>
    <t>Primary Care Financial Performance</t>
  </si>
  <si>
    <t>Balance Sheet</t>
  </si>
  <si>
    <t>Cash Analysis</t>
  </si>
  <si>
    <t>Better Payment Practice Code</t>
  </si>
  <si>
    <t>Full Year Forecast</t>
  </si>
  <si>
    <t>Risk</t>
  </si>
  <si>
    <t>MED</t>
  </si>
  <si>
    <t>LOW</t>
  </si>
  <si>
    <t>HIGH</t>
  </si>
  <si>
    <t>BPPC</t>
  </si>
  <si>
    <t>Kevin Mullins</t>
  </si>
  <si>
    <t>YTD Actuals</t>
  </si>
  <si>
    <t>Primary Care - Medical</t>
  </si>
  <si>
    <t>Estates Management</t>
  </si>
  <si>
    <t>4CCN - Level 4 Cost Centre Name</t>
  </si>
  <si>
    <t>6CCN - Level 6 Cost Centre Name</t>
  </si>
  <si>
    <t>Full Year Budget 3</t>
  </si>
  <si>
    <t>Budget 3</t>
  </si>
  <si>
    <t>Actuals</t>
  </si>
  <si>
    <t>YTD Budget 3</t>
  </si>
  <si>
    <t>In month Variance</t>
  </si>
  <si>
    <t>Sum:</t>
  </si>
  <si>
    <t>9JC - Level 9 Job Code</t>
  </si>
  <si>
    <t>9JDS - Level 9 Job Desc (short)</t>
  </si>
  <si>
    <t>Hillingdon Hospital</t>
  </si>
  <si>
    <t>TRYJ</t>
  </si>
  <si>
    <t>Imperial College Healthcare Nhs Trust</t>
  </si>
  <si>
    <t>TRV8</t>
  </si>
  <si>
    <t>TRRU</t>
  </si>
  <si>
    <t>TRWH</t>
  </si>
  <si>
    <t>TRWG</t>
  </si>
  <si>
    <t>TRAL</t>
  </si>
  <si>
    <t>FRRV</t>
  </si>
  <si>
    <t>TRC3</t>
  </si>
  <si>
    <t>TRP4</t>
  </si>
  <si>
    <t>TRAN</t>
  </si>
  <si>
    <t>FRD7</t>
  </si>
  <si>
    <t>TRFW</t>
  </si>
  <si>
    <t>FRQM</t>
  </si>
  <si>
    <t>FRJ1</t>
  </si>
  <si>
    <t>FRP6</t>
  </si>
  <si>
    <t>TRNJ</t>
  </si>
  <si>
    <t>FRPY</t>
  </si>
  <si>
    <t>RESV</t>
  </si>
  <si>
    <t>Reserves</t>
  </si>
  <si>
    <t>FRJZ</t>
  </si>
  <si>
    <t>TRJ7</t>
  </si>
  <si>
    <t>Acute Commissioning</t>
  </si>
  <si>
    <t>yellow uses data lookup</t>
  </si>
  <si>
    <t>Blue is an annual moving ave - so needs to be copied across each month</t>
  </si>
  <si>
    <t>3) Key Risks and Forecast Outturn before Recovery Plan</t>
  </si>
  <si>
    <t>AMBER</t>
  </si>
  <si>
    <t>Value of Financial Risks before recovery plan</t>
  </si>
  <si>
    <t>Prescribing budget</t>
  </si>
  <si>
    <t>Savings on other budgets and release of contingency</t>
  </si>
  <si>
    <t>Based on detailed reforecast, includes release of the £2.2m budget contingency and corporate cost savings already in train.</t>
  </si>
  <si>
    <t>Executive Team</t>
  </si>
  <si>
    <t>Sharon Daye</t>
  </si>
  <si>
    <t>Increase in likely cost as forecast by London Borough of Hillingdon after our budgets finalised.</t>
  </si>
  <si>
    <t>RAG</t>
  </si>
  <si>
    <t xml:space="preserve">Mental Health has underspent in month, however remain overspent year to date. </t>
  </si>
  <si>
    <t>The latest Swine Flu numbers remain below baseline levels for seasonal flu, indictating that the second wave has ended. Funding has been received from the Department of Health to meet the costs of the immunisation programme, which has been factored into forecast.</t>
  </si>
  <si>
    <t>Awaiting written confirmation from London SHA regarding charges from the Terrence Higgins Trust service.</t>
  </si>
  <si>
    <t>The forecast outturn is based on month 10 monitoring reports, GP referral data and previous year trend analysis. An acute recovery action plan is in place to mitigate the risks as much as possible.</t>
  </si>
  <si>
    <t>The deterioration of the position since month 6 continues, in month 11 this increased by £244k, indicating that the savings plan is not being achieved.</t>
  </si>
  <si>
    <t>Adjustments</t>
  </si>
  <si>
    <t>Year to date Income and Expenditure Position</t>
  </si>
  <si>
    <t>Capital Investment Plan</t>
  </si>
  <si>
    <t>FRT3</t>
  </si>
  <si>
    <t>TRKE</t>
  </si>
  <si>
    <t>Aged Debtors Analysis</t>
  </si>
  <si>
    <t>0-30 days</t>
  </si>
  <si>
    <t>31-90 days</t>
  </si>
  <si>
    <t>90+ days</t>
  </si>
  <si>
    <t xml:space="preserve">NHS </t>
  </si>
  <si>
    <t>CNWL Mental Health NHS Trust</t>
  </si>
  <si>
    <t>London SHA</t>
  </si>
  <si>
    <t>Non NHS</t>
  </si>
  <si>
    <t>London Borough of Hillingdon</t>
  </si>
  <si>
    <t>Tangible Assets</t>
  </si>
  <si>
    <t>Grand Total</t>
  </si>
  <si>
    <t>Acute</t>
  </si>
  <si>
    <t>NHS Hillingdon Debtors</t>
  </si>
  <si>
    <t>Total NHS Hillingdon Debtors (over £50k)</t>
  </si>
  <si>
    <t>Other NHS Hillingdon Debtors (under £50k)</t>
  </si>
  <si>
    <t>Total NHS Hillingdon debtors</t>
  </si>
  <si>
    <t xml:space="preserve">Month </t>
  </si>
  <si>
    <t>RBH</t>
  </si>
  <si>
    <t>C5LA</t>
  </si>
  <si>
    <t>Kensington And Chelsea Pct</t>
  </si>
  <si>
    <t>!</t>
  </si>
  <si>
    <t>No Job</t>
  </si>
  <si>
    <t>9CCC - Level 9 Cost Centre Code</t>
  </si>
  <si>
    <t>Capital Expenditure</t>
  </si>
  <si>
    <t>Allocation</t>
  </si>
  <si>
    <t>Spend</t>
  </si>
  <si>
    <t>Essential Capital Expenditure</t>
  </si>
  <si>
    <t xml:space="preserve">Actual </t>
  </si>
  <si>
    <t>Balance</t>
  </si>
  <si>
    <t>Health and Safety, DDA, infection control and other essential work</t>
  </si>
  <si>
    <t>Harrow PCT</t>
  </si>
  <si>
    <t>FRTK</t>
  </si>
  <si>
    <t>7) Primary Care</t>
  </si>
  <si>
    <t>12) Balance Sheet</t>
  </si>
  <si>
    <t>16) Capital Programme</t>
  </si>
  <si>
    <t>13) Cash Analysis</t>
  </si>
  <si>
    <t>14) Better Payment Practice Code (BPPC)</t>
  </si>
  <si>
    <t>15) Aged Debtors Analysis</t>
  </si>
  <si>
    <t>Ealing</t>
  </si>
  <si>
    <t>Hillingdon</t>
  </si>
  <si>
    <t>Hounslow</t>
  </si>
  <si>
    <t>To achieve Breakeven Positon for Hillingdon and Hounslow and 1% Surplus for Ealing</t>
  </si>
  <si>
    <t xml:space="preserve">Non Acute </t>
  </si>
  <si>
    <t>Primary care</t>
  </si>
  <si>
    <t xml:space="preserve">Corporate </t>
  </si>
  <si>
    <t>NHS Ealing</t>
  </si>
  <si>
    <t>2) In Month and Year to Date Position</t>
  </si>
  <si>
    <t>NHS Hillingdon</t>
  </si>
  <si>
    <t>NHS Hounslow</t>
  </si>
  <si>
    <t>NHS Ealing Total</t>
  </si>
  <si>
    <t>NHS Ealing Surplus / (Deficit)</t>
  </si>
  <si>
    <t>NHS Hillingdon Surplus / (Deficit)</t>
  </si>
  <si>
    <t>NHS Hounlow Surplus / (Deficit)</t>
  </si>
  <si>
    <t>Non Acute</t>
  </si>
  <si>
    <t xml:space="preserve">Primary Care </t>
  </si>
  <si>
    <t>NHS Ealing Debtors</t>
  </si>
  <si>
    <t>Total NHS Ealing Debtors (over £50k)</t>
  </si>
  <si>
    <t>Other NHS Ealing Debtors (under £50k)</t>
  </si>
  <si>
    <t>Total NHS Ealing Debtors</t>
  </si>
  <si>
    <t>NHS Hounslow Debtors</t>
  </si>
  <si>
    <t xml:space="preserve">Total NHS Hounslow Debtors </t>
  </si>
  <si>
    <t>Other NHS Hounslow Debtors (under £50k)</t>
  </si>
  <si>
    <t>Total NHS Hounslow Debtors (over £50k)</t>
  </si>
  <si>
    <t>NHS Ealing Projects</t>
  </si>
  <si>
    <t>NHS Hillingdon Projects</t>
  </si>
  <si>
    <t>NHS Hounslow Projects</t>
  </si>
  <si>
    <t>Running Costs</t>
  </si>
  <si>
    <t>5) Acute</t>
  </si>
  <si>
    <t>QIPP Plan</t>
  </si>
  <si>
    <t>5) Non Acute</t>
  </si>
  <si>
    <t>Public Health Financial Performance</t>
  </si>
  <si>
    <t>Non Acute Financial Performance</t>
  </si>
  <si>
    <t>Acute Financial Performance</t>
  </si>
  <si>
    <t>8) Public Health</t>
  </si>
  <si>
    <t>Emis Web IT Project</t>
  </si>
  <si>
    <t>Transferring GP Practices onto EMIS web</t>
  </si>
  <si>
    <t>Yiewsley Health Centre</t>
  </si>
  <si>
    <t>Legal Fees</t>
  </si>
  <si>
    <t>Heart of Hounslow</t>
  </si>
  <si>
    <t>Walk in centre remaining works</t>
  </si>
  <si>
    <t>Heston Health Centre</t>
  </si>
  <si>
    <t>New building to be completed in 2011/12</t>
  </si>
  <si>
    <t>Urgent Care Centre</t>
  </si>
  <si>
    <t>Hammersmith &amp; Fulham PCT</t>
  </si>
  <si>
    <t>Westminster PCT</t>
  </si>
  <si>
    <t>Ealing Hospital NHS Trust</t>
  </si>
  <si>
    <t>London Borough of Ealing</t>
  </si>
  <si>
    <t>2011/12</t>
  </si>
  <si>
    <t>Better Payment Practice Code (BPPC)  95% of creditors paid within 30 days by value</t>
  </si>
  <si>
    <t>Better Payment Practice Code (BPPC) 95% of creditors paid within 30 days by number</t>
  </si>
  <si>
    <t>Aged Debtor Analysis as at M6</t>
  </si>
  <si>
    <t xml:space="preserve">NCL Acute Commissioning </t>
  </si>
  <si>
    <t>Westminster</t>
  </si>
  <si>
    <t>Finance Report Month 6 2011/12 - NHS Ealing, NHS Hillingdon and NHS Hounslow</t>
  </si>
  <si>
    <t>Intangible Assets</t>
  </si>
  <si>
    <t>Ealing Hospital  - ICO contract agreement</t>
  </si>
  <si>
    <t>Westway Cross</t>
  </si>
  <si>
    <t>Professional fees</t>
  </si>
  <si>
    <t xml:space="preserve">Various </t>
  </si>
  <si>
    <t>HESA</t>
  </si>
  <si>
    <t>Health Centre extension</t>
  </si>
  <si>
    <t>Capital Grants</t>
  </si>
  <si>
    <t>GP grants - to be advised</t>
  </si>
  <si>
    <t>Oaklands Surgery, others to be advised</t>
  </si>
  <si>
    <t>Finance ledger - ABS</t>
  </si>
  <si>
    <t>N3 Router &amp; Housing Cabinet</t>
  </si>
  <si>
    <t>GP Infrastructure</t>
  </si>
  <si>
    <t>Essential software for the merger of the finance team</t>
  </si>
  <si>
    <t>Upgrades to software</t>
  </si>
  <si>
    <t>Essential IT work</t>
  </si>
  <si>
    <t>Replacement PC's, Printer etc</t>
  </si>
  <si>
    <t>Meadows Health Centre (Chinchilla)</t>
  </si>
  <si>
    <t>System One roll out</t>
  </si>
  <si>
    <t>Other Statutory Compliance</t>
  </si>
  <si>
    <t>Fire Safety Compliance</t>
  </si>
  <si>
    <t>Health &amp; Safety Compliance</t>
  </si>
  <si>
    <t>Scriptswitch</t>
  </si>
  <si>
    <t>Encryption</t>
  </si>
  <si>
    <t>Family Nurse Partnership Team set up</t>
  </si>
  <si>
    <t>Equipment Review</t>
  </si>
  <si>
    <t>Backlog Maintenance</t>
  </si>
  <si>
    <t>RIO Upgrade</t>
  </si>
  <si>
    <t>Planned required estates maintenance in line with the 5 year backlog maintenace shedule</t>
  </si>
  <si>
    <t>Contribution to Imperial ICP project</t>
  </si>
  <si>
    <t>Water risk assessment work, wiring, emergency lighting etc.</t>
  </si>
  <si>
    <t>Phased upgrade of Fire Alarm system to L2 standard</t>
  </si>
  <si>
    <t>DDA Compliance, security</t>
  </si>
  <si>
    <t>New GP IT system</t>
  </si>
  <si>
    <t>Started in 2009/10 - ongoing commitment</t>
  </si>
  <si>
    <t>Prescription System</t>
  </si>
  <si>
    <t>Community Equipment commissioning review</t>
  </si>
  <si>
    <t>Refurbishment costs</t>
  </si>
  <si>
    <t>A new credit control policy for the ONWL Group of PCT's has been recently implemented and we will continue to monitor progress.</t>
  </si>
  <si>
    <t>Each PCT has a target to ensure that 95% of invoices are paid within 30 days. The target is measured by both value and volume of invoices.</t>
  </si>
  <si>
    <t>The target by value has been achieved for the first 6 months of the year, however the PCT is below target by volume both in month and for the year.</t>
  </si>
  <si>
    <t xml:space="preserve">The cash targets for the PCT are to have an average cash balance of less then £100k at the end of each month and to maintain expenditure within the allocated £1,451m cash limit.  Cash drawn down in the first quarter totalled £720m. </t>
  </si>
  <si>
    <t>London Borough of Hounslow</t>
  </si>
  <si>
    <t>The Practice PLC</t>
  </si>
  <si>
    <t>Dr Luthra GP Practice</t>
  </si>
  <si>
    <t>Dr Heffernan GP Practice</t>
  </si>
  <si>
    <t>Greenbrook GP Practice</t>
  </si>
  <si>
    <t>The PCT's have received an allocation of £8.8m for 2011/11.  The £560k spent to date has been on various capital maintenance projects.</t>
  </si>
  <si>
    <r>
      <rPr>
        <b/>
        <sz val="10"/>
        <rFont val="Arial"/>
        <family val="2"/>
      </rPr>
      <t>Learning Disabilities</t>
    </r>
    <r>
      <rPr>
        <sz val="10"/>
        <rFont val="Arial"/>
        <family val="2"/>
      </rPr>
      <t xml:space="preserve"> are overspending by £245k. This is based on the latest forecast report from LBE. There is currently a Learning Disability review taking place.</t>
    </r>
  </si>
  <si>
    <r>
      <rPr>
        <b/>
        <sz val="10"/>
        <rFont val="Arial"/>
        <family val="2"/>
      </rPr>
      <t>Mental Health</t>
    </r>
    <r>
      <rPr>
        <sz val="10"/>
        <rFont val="Arial"/>
        <family val="2"/>
      </rPr>
      <t xml:space="preserve"> are overspending by £160k. This relates to new clients in year and an increase in mental health NCA's.</t>
    </r>
  </si>
  <si>
    <r>
      <t xml:space="preserve">Primary care </t>
    </r>
    <r>
      <rPr>
        <sz val="10"/>
        <rFont val="Arial"/>
        <family val="2"/>
      </rPr>
      <t xml:space="preserve">within NHS Ealing is reporting a year to date </t>
    </r>
  </si>
  <si>
    <t>underspend of £990k.</t>
  </si>
  <si>
    <t xml:space="preserve">Medical contracts, Opthalmic contracts &amp; Pathology contracts </t>
  </si>
  <si>
    <t>are currently on target.</t>
  </si>
  <si>
    <r>
      <t xml:space="preserve">Primary care </t>
    </r>
    <r>
      <rPr>
        <sz val="10"/>
        <rFont val="Arial"/>
        <family val="2"/>
      </rPr>
      <t xml:space="preserve">within NHS Hillingdon is reporting a year to date </t>
    </r>
  </si>
  <si>
    <t>underspend of £570k.</t>
  </si>
  <si>
    <t>overspend of £497k.</t>
  </si>
  <si>
    <t xml:space="preserve">The Dental contract is underspending by £63k and </t>
  </si>
  <si>
    <t>Medical contract is underspending by £98k.</t>
  </si>
  <si>
    <t>favourable variance against the year to date plan.</t>
  </si>
  <si>
    <r>
      <rPr>
        <b/>
        <sz val="10"/>
        <rFont val="Arial"/>
        <family val="2"/>
      </rPr>
      <t>Children's Services</t>
    </r>
    <r>
      <rPr>
        <sz val="10"/>
        <rFont val="Arial"/>
        <family val="2"/>
      </rPr>
      <t xml:space="preserve"> are overspending by £106k. This is predominantly in relation to CAMHS which is part of specialist commissioning.</t>
    </r>
  </si>
  <si>
    <t>Ealing Public Health is under spent by £4k overall. This is due to staff vacancies and non-recurrent savings on Choosing Health projects.</t>
  </si>
  <si>
    <t>Hillingdon Public Health is under spent by £73k overall. This is predominantly due to reduced spend on Health Promotion activity £128k and is expected to continue in M6-M7 (Childhood Obesity, Cancer &amp; All Age Mortality, Pandemic Flu, Disadvantage Community &amp; Flu Fund). 
Screening Services is over spent by £44k due to the non-recurrent NAEDI Project carried forward from 2010-11. 
Sexual Health is over spent by £73k due to NCA activity relating to high cost HIV drugs.</t>
  </si>
  <si>
    <t>Hounslow Public Health is under spent by £93k overall. The main driver is decreased spend on Sexual Health GUM acitivity.</t>
  </si>
  <si>
    <t>The position at month 6 is that Hillingdon and Hounslow are meeting the control target, (breakeven for Hillingdon and 1% surplus for Hounslow). Ealing was expected to achieve a 1% surplus, however has only achieved breakeven at month 6.</t>
  </si>
  <si>
    <t>↓</t>
  </si>
  <si>
    <t>YTD Plan</t>
  </si>
  <si>
    <t>YTD Actual</t>
  </si>
  <si>
    <t>Comment</t>
  </si>
  <si>
    <t>Under-performance in contract levers in acute contracts</t>
  </si>
  <si>
    <t>Under-performance in acute contract data validation and dermatology pathway redesign</t>
  </si>
  <si>
    <t>PCT</t>
  </si>
  <si>
    <t>NHS Hillingdon Total</t>
  </si>
  <si>
    <t>NHS Hounslow Total</t>
  </si>
  <si>
    <t>Meeting the QIPP plans and Acute SLA over performance remains the most significant risk to achieving the Sub Clusters financial target. The forecast is based on the month 6 YTD position and the month 5 monitoring reports regarding Acute SLA's. The most likely outturn variance against budget assumes cap arrangements are in place with three of our acute providers.</t>
  </si>
  <si>
    <t>Programme</t>
  </si>
  <si>
    <t>Budget Line and Contracts Review</t>
  </si>
  <si>
    <t>Controls and Incentives</t>
  </si>
  <si>
    <t>Planned Care Controls</t>
  </si>
  <si>
    <t>Integrated Care</t>
  </si>
  <si>
    <t>Planned Care Pathway Redesign</t>
  </si>
  <si>
    <t>ONWL Total</t>
  </si>
  <si>
    <t>3) QIPP Plan (£'m)</t>
  </si>
  <si>
    <t>Dematology and sexual health schemes not delivering the planned level of savings</t>
  </si>
  <si>
    <t>Outpatient follow-up ratios's and data validation checks are not delivering the planned level of savings</t>
  </si>
  <si>
    <r>
      <t xml:space="preserve">Children's Services </t>
    </r>
    <r>
      <rPr>
        <sz val="10"/>
        <rFont val="Arial"/>
        <family val="2"/>
      </rPr>
      <t>are overspending by £283k. The majority of this is due to increased CAMHS activity in 1112.</t>
    </r>
  </si>
  <si>
    <r>
      <t xml:space="preserve">Learning Disabilities </t>
    </r>
    <r>
      <rPr>
        <sz val="10"/>
        <rFont val="Arial"/>
        <family val="2"/>
      </rPr>
      <t>£104k overspend based on latest forecast.</t>
    </r>
  </si>
  <si>
    <r>
      <t xml:space="preserve">Older People </t>
    </r>
    <r>
      <rPr>
        <sz val="10"/>
        <rFont val="Arial"/>
        <family val="2"/>
      </rPr>
      <t>is underspending by £235k. £205k of this relates to FNC.</t>
    </r>
  </si>
  <si>
    <t>Net Surplus / Deficit</t>
  </si>
  <si>
    <t>Kings</t>
  </si>
  <si>
    <t>GOSH</t>
  </si>
  <si>
    <t>Admin</t>
  </si>
  <si>
    <t>Program</t>
  </si>
  <si>
    <t>Medical</t>
  </si>
  <si>
    <t>Pathology</t>
  </si>
  <si>
    <t>ONWL</t>
  </si>
  <si>
    <t>2CCN - Level 2 Cost Centre Name</t>
  </si>
  <si>
    <t xml:space="preserve"> Financial Year 2012</t>
  </si>
  <si>
    <t>Month 6</t>
  </si>
  <si>
    <t>Appendix 2</t>
  </si>
  <si>
    <t>Ealing Pct</t>
  </si>
  <si>
    <t>Income &amp; Expenditure</t>
  </si>
  <si>
    <t>Estates Property</t>
  </si>
  <si>
    <t>Corporate Services</t>
  </si>
  <si>
    <t>Commissioning And Performance</t>
  </si>
  <si>
    <t>Corporate Recharges</t>
  </si>
  <si>
    <t>Financial Management</t>
  </si>
  <si>
    <t>I.T. Management</t>
  </si>
  <si>
    <t>Transition Cost</t>
  </si>
  <si>
    <t>Public Health Services</t>
  </si>
  <si>
    <t>Public Health Admin</t>
  </si>
  <si>
    <t>Public Health Programme</t>
  </si>
  <si>
    <t>Non-Acute Services</t>
  </si>
  <si>
    <t>Acute Services</t>
  </si>
  <si>
    <t>Acute Nhs Sla</t>
  </si>
  <si>
    <t>Acute Non Nhs Sla</t>
  </si>
  <si>
    <t>Acute Sla Exclusions</t>
  </si>
  <si>
    <t>Non Contracted Activity</t>
  </si>
  <si>
    <t>Specialist Commissioning</t>
  </si>
  <si>
    <t>Primary Care Services</t>
  </si>
  <si>
    <t>Primary Care - Pathology</t>
  </si>
  <si>
    <t>Hillingdon Pct</t>
  </si>
  <si>
    <t>Hounslow Pct</t>
  </si>
  <si>
    <t>SLA</t>
  </si>
  <si>
    <t>A11001</t>
  </si>
  <si>
    <t>C5H1</t>
  </si>
  <si>
    <t>Hammersmith And Fulham Pct</t>
  </si>
  <si>
    <t>FRA2</t>
  </si>
  <si>
    <t>Royal Surrey County Nhs Foundation Trust</t>
  </si>
  <si>
    <t>FRAS</t>
  </si>
  <si>
    <t>Heatherwood And Wexham Park Hosps Nhs Ft</t>
  </si>
  <si>
    <t>Guys And St Thomas Nhs Foundation Trust</t>
  </si>
  <si>
    <t>Kings College Hospital Nhs Ft</t>
  </si>
  <si>
    <t>Moorfields Eye Hospital Nhs Ft</t>
  </si>
  <si>
    <t>FRPC</t>
  </si>
  <si>
    <t>Queen Victoria Hospital Nhs Ft</t>
  </si>
  <si>
    <t>The Royal Marsden Hospital Nhs Ft</t>
  </si>
  <si>
    <t>Chelsea And Westminster Hospital Nhs Ft</t>
  </si>
  <si>
    <t>FRQX</t>
  </si>
  <si>
    <t>Homerton University Hospital Nhs Ft</t>
  </si>
  <si>
    <t>University College London Nhs Ft</t>
  </si>
  <si>
    <t>Royal Brompton And Harefield Nhs Ft</t>
  </si>
  <si>
    <t>Ashford And St Peters Hospitals Nhs Ft</t>
  </si>
  <si>
    <t>FRWK</t>
  </si>
  <si>
    <t>East London Nhs Foundation Trust</t>
  </si>
  <si>
    <t>P0218</t>
  </si>
  <si>
    <t>Medtronic</t>
  </si>
  <si>
    <t>Royal Free Hampstead Nhs Trust</t>
  </si>
  <si>
    <t>The Royal National Orthopaedic Nhs Trust</t>
  </si>
  <si>
    <t>TRAX</t>
  </si>
  <si>
    <t>Kingston Hospital Nhs Trust</t>
  </si>
  <si>
    <t>Ealing Hospital Nhs Trust</t>
  </si>
  <si>
    <t>West Middlesex University Nhs Trust</t>
  </si>
  <si>
    <t>St Georges Healthcare Nhs Trust</t>
  </si>
  <si>
    <t>Whittington Hospital Nhs Trust</t>
  </si>
  <si>
    <t>Barts And The London Nhs Trust</t>
  </si>
  <si>
    <t>Great Ormond Street Hospital Nhs Trust</t>
  </si>
  <si>
    <t>TRTP</t>
  </si>
  <si>
    <t>Surrey And Sussex Healthcare Nhs Trust</t>
  </si>
  <si>
    <t>North West London Hospitals Nhs Trust</t>
  </si>
  <si>
    <t>East And North Hertfordshire Nhs Trust</t>
  </si>
  <si>
    <t>A11002</t>
  </si>
  <si>
    <t>A11003</t>
  </si>
  <si>
    <t>London Ambulance Service Nhs Trust</t>
  </si>
  <si>
    <t>A11004</t>
  </si>
  <si>
    <t>Carpenter Dr</t>
  </si>
  <si>
    <t>Waddell Dm</t>
  </si>
  <si>
    <t>BUD</t>
  </si>
  <si>
    <t>Budget Upload</t>
  </si>
  <si>
    <t>A11005</t>
  </si>
  <si>
    <t>B11001</t>
  </si>
  <si>
    <t>West Hertfordshire Hospitals Nhs Trust</t>
  </si>
  <si>
    <t>B11002</t>
  </si>
  <si>
    <t>B11003</t>
  </si>
  <si>
    <t>B11005</t>
  </si>
  <si>
    <t>C11001</t>
  </si>
  <si>
    <t>FRRJ</t>
  </si>
  <si>
    <t>Royal Orthopaedic Hospital Nhs Ft</t>
  </si>
  <si>
    <t>TRVR</t>
  </si>
  <si>
    <t>Epsom And St Helier University Nhs Trust</t>
  </si>
  <si>
    <t>C11002</t>
  </si>
  <si>
    <t>C11003</t>
  </si>
  <si>
    <t>C11004</t>
  </si>
  <si>
    <t>C11005</t>
  </si>
  <si>
    <t>EHT</t>
  </si>
  <si>
    <t>West Mid</t>
  </si>
  <si>
    <t>UCL</t>
  </si>
  <si>
    <t xml:space="preserve">Barts </t>
  </si>
  <si>
    <t>E&amp;N Herts</t>
  </si>
  <si>
    <t>RNOH</t>
  </si>
  <si>
    <t xml:space="preserve">St Georges </t>
  </si>
  <si>
    <t xml:space="preserve">Estates </t>
  </si>
  <si>
    <t>Transition</t>
  </si>
  <si>
    <t>Corporate &amp; Contingency</t>
  </si>
  <si>
    <t xml:space="preserve">Ealing PCT is experiencing significant over-performance on acute </t>
  </si>
  <si>
    <t>contracts, part of which has been mitigated by the agreement of</t>
  </si>
  <si>
    <t xml:space="preserve">caps with North West London and Imperial College. </t>
  </si>
  <si>
    <t xml:space="preserve">to an increase in GP referrals and in the conversion rate of </t>
  </si>
  <si>
    <t>A&amp;E attendances to non-elective admissions.</t>
  </si>
  <si>
    <t xml:space="preserve">The majority of the over-performance as been with out of sector </t>
  </si>
  <si>
    <t>contracts, which are currently being investigated by the ACV.</t>
  </si>
  <si>
    <t>H&amp;W</t>
  </si>
  <si>
    <t>The recovery plan details the action being taken to mitigate the risk from acute over-performance.</t>
  </si>
  <si>
    <t>Hounslow PCT are under-spending on acute contracts year to date. West Middlesex is making the largest contribution to this position.</t>
  </si>
  <si>
    <t>Part of the underlying cause of he over-performance has been due</t>
  </si>
  <si>
    <r>
      <rPr>
        <b/>
        <sz val="10"/>
        <rFont val="Arial"/>
        <family val="2"/>
      </rPr>
      <t>Older People</t>
    </r>
    <r>
      <rPr>
        <sz val="10"/>
        <rFont val="Arial"/>
        <family val="2"/>
      </rPr>
      <t xml:space="preserve"> are overspending by £163k. This relates to Placements at Manor Court.</t>
    </r>
  </si>
  <si>
    <r>
      <rPr>
        <b/>
        <sz val="10"/>
        <rFont val="Arial"/>
        <family val="2"/>
      </rPr>
      <t>Children's Services</t>
    </r>
    <r>
      <rPr>
        <sz val="10"/>
        <rFont val="Arial"/>
        <family val="2"/>
      </rPr>
      <t xml:space="preserve"> are currently over performing by £416k due to an increase in placements. </t>
    </r>
  </si>
  <si>
    <r>
      <rPr>
        <b/>
        <sz val="10"/>
        <rFont val="Arial"/>
        <family val="2"/>
      </rPr>
      <t xml:space="preserve">Community Services </t>
    </r>
    <r>
      <rPr>
        <sz val="10"/>
        <rFont val="Arial"/>
        <family val="2"/>
      </rPr>
      <t>are overspending by £65k solely relating to delivery of the QIPP plan.</t>
    </r>
  </si>
  <si>
    <r>
      <rPr>
        <b/>
        <sz val="10"/>
        <rFont val="Arial"/>
        <family val="2"/>
      </rPr>
      <t xml:space="preserve">Mental Health </t>
    </r>
    <r>
      <rPr>
        <sz val="10"/>
        <rFont val="Arial"/>
        <family val="2"/>
      </rPr>
      <t>is currently overspending by £673k predomiantely due to an increased cost of placements.</t>
    </r>
  </si>
  <si>
    <r>
      <t xml:space="preserve">Mental Health </t>
    </r>
    <r>
      <rPr>
        <sz val="10"/>
        <rFont val="Arial"/>
        <family val="2"/>
      </rPr>
      <t>is overspending by £133k year to date.</t>
    </r>
  </si>
  <si>
    <t>underspend against the year to date plan.</t>
  </si>
  <si>
    <t>Medical (£248k) and Opthanmic (£4k) are currently showing a</t>
  </si>
  <si>
    <t xml:space="preserve">Prescribing contract £309k and dental contract £527k has a </t>
  </si>
  <si>
    <t xml:space="preserve">Primary Care Dental (£188k), Prescribing (£129k), </t>
  </si>
  <si>
    <t>contract which is overperforming.</t>
  </si>
  <si>
    <t xml:space="preserve">The main contributors to the overspend is the Quest Pathology </t>
  </si>
  <si>
    <t>The recovery plan details the actions being taken to address the over-spending areas within the Non-acute budgets.</t>
  </si>
  <si>
    <t>The recovery plan details the actions being taken to address the over-spending areas within the Primary Care budgets.</t>
  </si>
  <si>
    <t>The actual cash draw down to M6 was £720m for the ONWL Group of PCT's. The cash limit of £1,451m is available to ONWL in 2011/12.   We are not anticipating any issues with meeting this target for 2010/11.</t>
  </si>
  <si>
    <t xml:space="preserve">The Head of Financial Services has implemented an invoice registration follow up system which should improve performance  on BPPC scores across the three PCT's.  </t>
  </si>
</sst>
</file>

<file path=xl/styles.xml><?xml version="1.0" encoding="utf-8"?>
<styleSheet xmlns="http://schemas.openxmlformats.org/spreadsheetml/2006/main">
  <numFmts count="14">
    <numFmt numFmtId="6" formatCode="&quot;£&quot;#,##0;[Red]\-&quot;£&quot;#,##0"/>
    <numFmt numFmtId="43" formatCode="_-* #,##0.00_-;\-* #,##0.00_-;_-* &quot;-&quot;??_-;_-@_-"/>
    <numFmt numFmtId="164" formatCode="#,##0;[Red]\(#,##0\)"/>
    <numFmt numFmtId="165" formatCode="0.0%"/>
    <numFmt numFmtId="166" formatCode="#,##0;\(#,##0\)"/>
    <numFmt numFmtId="167" formatCode="0.0%\ ;[Red]\(0.0\)%\ "/>
    <numFmt numFmtId="168" formatCode="#,##0.0\ ;[Red]\(#,##0.0\)"/>
    <numFmt numFmtId="169" formatCode="_-* #,##0_-;\-* #,##0_-;_-* &quot;-&quot;??_-;_-@_-"/>
    <numFmt numFmtId="170" formatCode="0.00;\(0.00\)"/>
    <numFmt numFmtId="171" formatCode="[Magenta]&quot;Err&quot;;[Magenta]&quot;Err&quot;;[Blue]&quot;OK&quot;"/>
    <numFmt numFmtId="172" formatCode="General\ &quot;.&quot;"/>
    <numFmt numFmtId="173" formatCode="#,##0_);[Red]\(#,##0\);\-_)"/>
    <numFmt numFmtId="174" formatCode="0.0_)%;[Red]\(0.0%\);0.0_)%"/>
    <numFmt numFmtId="175" formatCode="0;\(0\)"/>
  </numFmts>
  <fonts count="32">
    <font>
      <sz val="10"/>
      <name val="Arial"/>
    </font>
    <font>
      <sz val="10"/>
      <name val="Arial"/>
      <family val="2"/>
    </font>
    <font>
      <sz val="8"/>
      <name val="Arial"/>
      <family val="2"/>
    </font>
    <font>
      <b/>
      <sz val="10"/>
      <name val="Arial"/>
      <family val="2"/>
    </font>
    <font>
      <b/>
      <sz val="10"/>
      <name val="Arial Black"/>
      <family val="2"/>
    </font>
    <font>
      <sz val="10"/>
      <name val="Arial"/>
      <family val="2"/>
    </font>
    <font>
      <i/>
      <sz val="10"/>
      <name val="Arial"/>
      <family val="2"/>
    </font>
    <font>
      <b/>
      <sz val="10"/>
      <color indexed="9"/>
      <name val="Arial"/>
      <family val="2"/>
    </font>
    <font>
      <b/>
      <sz val="10"/>
      <color indexed="9"/>
      <name val="Arial"/>
      <family val="2"/>
    </font>
    <font>
      <sz val="10"/>
      <color indexed="9"/>
      <name val="Arial"/>
      <family val="2"/>
    </font>
    <font>
      <b/>
      <sz val="24"/>
      <name val="Arial Black"/>
      <family val="2"/>
    </font>
    <font>
      <b/>
      <sz val="10"/>
      <color indexed="10"/>
      <name val="Arial"/>
      <family val="2"/>
    </font>
    <font>
      <sz val="9"/>
      <color indexed="8"/>
      <name val="Arial"/>
      <family val="2"/>
    </font>
    <font>
      <b/>
      <sz val="9"/>
      <color indexed="8"/>
      <name val="Arial"/>
      <family val="2"/>
    </font>
    <font>
      <sz val="12"/>
      <color indexed="8"/>
      <name val="Arial"/>
      <family val="2"/>
    </font>
    <font>
      <sz val="10"/>
      <color indexed="8"/>
      <name val="MS Sans Serif"/>
      <family val="2"/>
    </font>
    <font>
      <b/>
      <u/>
      <sz val="10"/>
      <name val="Arial"/>
      <family val="2"/>
    </font>
    <font>
      <b/>
      <sz val="8"/>
      <color indexed="12"/>
      <name val="Arial"/>
      <family val="2"/>
    </font>
    <font>
      <sz val="10"/>
      <color indexed="8"/>
      <name val="Arial"/>
      <family val="2"/>
    </font>
    <font>
      <b/>
      <sz val="12"/>
      <color indexed="8"/>
      <name val="Arial"/>
      <family val="2"/>
    </font>
    <font>
      <sz val="10"/>
      <color indexed="12"/>
      <name val="Arial"/>
      <family val="2"/>
    </font>
    <font>
      <b/>
      <sz val="10"/>
      <color indexed="8"/>
      <name val="MS Sans Serif"/>
      <family val="2"/>
    </font>
    <font>
      <sz val="8"/>
      <color indexed="81"/>
      <name val="Tahoma"/>
      <family val="2"/>
    </font>
    <font>
      <b/>
      <sz val="8"/>
      <color indexed="81"/>
      <name val="Tahoma"/>
      <family val="2"/>
    </font>
    <font>
      <b/>
      <sz val="9"/>
      <color indexed="9"/>
      <name val="Arial"/>
      <family val="2"/>
    </font>
    <font>
      <b/>
      <sz val="9"/>
      <name val="Arial"/>
      <family val="2"/>
    </font>
    <font>
      <sz val="11"/>
      <color indexed="8"/>
      <name val="Calibri"/>
      <family val="2"/>
    </font>
    <font>
      <sz val="10"/>
      <name val="Verdana"/>
      <family val="2"/>
    </font>
    <font>
      <sz val="10"/>
      <name val="MS Sans Serif"/>
      <family val="2"/>
    </font>
    <font>
      <sz val="10"/>
      <color indexed="8"/>
      <name val="MS Sans Serif"/>
      <family val="2"/>
    </font>
    <font>
      <sz val="6"/>
      <color indexed="8"/>
      <name val="Arial"/>
      <family val="2"/>
    </font>
    <font>
      <sz val="24"/>
      <name val="Arial"/>
      <family val="2"/>
    </font>
  </fonts>
  <fills count="21">
    <fill>
      <patternFill patternType="none"/>
    </fill>
    <fill>
      <patternFill patternType="gray125"/>
    </fill>
    <fill>
      <patternFill patternType="solid">
        <fgColor indexed="22"/>
      </patternFill>
    </fill>
    <fill>
      <patternFill patternType="solid">
        <fgColor indexed="43"/>
      </patternFill>
    </fill>
    <fill>
      <patternFill patternType="solid">
        <fgColor indexed="44"/>
        <bgColor indexed="64"/>
      </patternFill>
    </fill>
    <fill>
      <patternFill patternType="solid">
        <fgColor indexed="42"/>
        <bgColor indexed="64"/>
      </patternFill>
    </fill>
    <fill>
      <patternFill patternType="solid">
        <fgColor indexed="48"/>
        <bgColor indexed="64"/>
      </patternFill>
    </fill>
    <fill>
      <patternFill patternType="solid">
        <fgColor indexed="43"/>
        <bgColor indexed="64"/>
      </patternFill>
    </fill>
    <fill>
      <patternFill patternType="solid">
        <fgColor indexed="11"/>
        <bgColor indexed="64"/>
      </patternFill>
    </fill>
    <fill>
      <patternFill patternType="solid">
        <fgColor indexed="9"/>
        <bgColor indexed="9"/>
      </patternFill>
    </fill>
    <fill>
      <patternFill patternType="solid">
        <fgColor indexed="54"/>
        <bgColor indexed="9"/>
      </patternFill>
    </fill>
    <fill>
      <patternFill patternType="solid">
        <fgColor indexed="11"/>
        <bgColor indexed="9"/>
      </patternFill>
    </fill>
    <fill>
      <patternFill patternType="solid">
        <fgColor indexed="13"/>
        <bgColor indexed="9"/>
      </patternFill>
    </fill>
    <fill>
      <patternFill patternType="solid">
        <fgColor indexed="10"/>
        <bgColor indexed="9"/>
      </patternFill>
    </fill>
    <fill>
      <patternFill patternType="solid">
        <fgColor indexed="10"/>
        <bgColor indexed="64"/>
      </patternFill>
    </fill>
    <fill>
      <patternFill patternType="solid">
        <fgColor indexed="13"/>
        <bgColor indexed="64"/>
      </patternFill>
    </fill>
    <fill>
      <patternFill patternType="solid">
        <fgColor indexed="49"/>
        <bgColor indexed="64"/>
      </patternFill>
    </fill>
    <fill>
      <patternFill patternType="solid">
        <fgColor indexed="12"/>
        <bgColor indexed="64"/>
      </patternFill>
    </fill>
    <fill>
      <patternFill patternType="solid">
        <fgColor indexed="57"/>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31"/>
      </left>
      <right style="thin">
        <color indexed="31"/>
      </right>
      <top style="thin">
        <color indexed="31"/>
      </top>
      <bottom style="thin">
        <color indexed="31"/>
      </bottom>
      <diagonal/>
    </border>
    <border>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171" fontId="17" fillId="0" borderId="0" applyFill="0" applyBorder="0"/>
    <xf numFmtId="15" fontId="18" fillId="0" borderId="0" applyFill="0" applyBorder="0" applyProtection="0">
      <alignment horizontal="center"/>
    </xf>
    <xf numFmtId="172" fontId="19" fillId="2" borderId="1" applyAlignment="0" applyProtection="0"/>
    <xf numFmtId="173" fontId="20" fillId="3" borderId="2" applyAlignment="0">
      <protection locked="0"/>
    </xf>
    <xf numFmtId="174" fontId="18" fillId="0" borderId="0" applyFill="0" applyBorder="0" applyAlignment="0" applyProtection="0"/>
    <xf numFmtId="9" fontId="1" fillId="0" borderId="0" applyFont="0" applyFill="0" applyBorder="0" applyAlignment="0" applyProtection="0"/>
    <xf numFmtId="172" fontId="19" fillId="2" borderId="54" applyAlignment="0" applyProtection="0"/>
    <xf numFmtId="172" fontId="19" fillId="2" borderId="55" applyAlignment="0" applyProtection="0"/>
  </cellStyleXfs>
  <cellXfs count="543">
    <xf numFmtId="0" fontId="0" fillId="0" borderId="0" xfId="0"/>
    <xf numFmtId="0" fontId="3" fillId="0" borderId="0" xfId="0" applyFont="1"/>
    <xf numFmtId="0" fontId="0" fillId="0" borderId="0" xfId="0" applyAlignment="1">
      <alignment wrapText="1"/>
    </xf>
    <xf numFmtId="0" fontId="3" fillId="0" borderId="0" xfId="0" applyFont="1" applyAlignment="1">
      <alignment wrapText="1"/>
    </xf>
    <xf numFmtId="0" fontId="4" fillId="0" borderId="0" xfId="0" applyFont="1" applyAlignment="1">
      <alignment horizontal="center"/>
    </xf>
    <xf numFmtId="0" fontId="5" fillId="0" borderId="0" xfId="0" applyFont="1"/>
    <xf numFmtId="0" fontId="3" fillId="0" borderId="3" xfId="0" applyFont="1" applyBorder="1" applyAlignment="1">
      <alignment wrapText="1"/>
    </xf>
    <xf numFmtId="3" fontId="5" fillId="0" borderId="0" xfId="0" applyNumberFormat="1" applyFont="1"/>
    <xf numFmtId="0" fontId="3" fillId="0" borderId="4" xfId="0" applyFont="1" applyBorder="1" applyAlignment="1">
      <alignment wrapText="1"/>
    </xf>
    <xf numFmtId="0" fontId="5" fillId="0" borderId="4" xfId="0" applyFont="1" applyBorder="1"/>
    <xf numFmtId="0" fontId="0" fillId="0" borderId="4" xfId="0" applyBorder="1"/>
    <xf numFmtId="0" fontId="3" fillId="0" borderId="4" xfId="0" applyFont="1" applyBorder="1"/>
    <xf numFmtId="0" fontId="5" fillId="0" borderId="5" xfId="0" applyFont="1" applyBorder="1"/>
    <xf numFmtId="0" fontId="0" fillId="0" borderId="0" xfId="0" applyAlignment="1">
      <alignment horizontal="center"/>
    </xf>
    <xf numFmtId="0" fontId="3" fillId="0" borderId="4" xfId="0" applyFont="1" applyBorder="1" applyAlignment="1">
      <alignment horizontal="center" wrapText="1"/>
    </xf>
    <xf numFmtId="0" fontId="6" fillId="0" borderId="6" xfId="0" applyFont="1" applyBorder="1"/>
    <xf numFmtId="0" fontId="0" fillId="0" borderId="7" xfId="0" applyBorder="1"/>
    <xf numFmtId="0" fontId="4" fillId="0" borderId="7" xfId="0" applyFont="1" applyBorder="1" applyAlignment="1">
      <alignment horizontal="center"/>
    </xf>
    <xf numFmtId="0" fontId="3" fillId="0" borderId="7" xfId="0" applyFont="1" applyBorder="1" applyAlignment="1">
      <alignment horizontal="center" vertical="center"/>
    </xf>
    <xf numFmtId="0" fontId="0" fillId="0" borderId="5" xfId="0" applyBorder="1"/>
    <xf numFmtId="0" fontId="3" fillId="0" borderId="0" xfId="0" applyFont="1" applyBorder="1" applyAlignment="1">
      <alignment horizontal="center" vertical="center"/>
    </xf>
    <xf numFmtId="3" fontId="5" fillId="0" borderId="4" xfId="0" applyNumberFormat="1" applyFont="1" applyBorder="1" applyAlignment="1">
      <alignment horizontal="center"/>
    </xf>
    <xf numFmtId="0" fontId="3" fillId="0" borderId="6" xfId="0" applyFont="1" applyBorder="1"/>
    <xf numFmtId="0" fontId="3" fillId="0" borderId="8" xfId="0" applyFont="1" applyBorder="1" applyAlignment="1">
      <alignment wrapText="1"/>
    </xf>
    <xf numFmtId="0" fontId="3" fillId="0" borderId="0" xfId="0" applyFont="1" applyBorder="1" applyAlignment="1">
      <alignment wrapText="1"/>
    </xf>
    <xf numFmtId="0" fontId="3" fillId="0" borderId="0" xfId="0" applyFont="1" applyBorder="1"/>
    <xf numFmtId="0" fontId="0" fillId="0" borderId="0" xfId="0" applyBorder="1"/>
    <xf numFmtId="0" fontId="5" fillId="0" borderId="9" xfId="0" applyFont="1" applyBorder="1"/>
    <xf numFmtId="0" fontId="0" fillId="0" borderId="11" xfId="0" applyBorder="1" applyAlignment="1">
      <alignment horizontal="center" vertical="center"/>
    </xf>
    <xf numFmtId="0" fontId="0" fillId="0" borderId="10" xfId="0"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0" fillId="0" borderId="8" xfId="0" applyBorder="1"/>
    <xf numFmtId="0" fontId="0" fillId="4" borderId="0" xfId="0" applyFill="1" applyBorder="1"/>
    <xf numFmtId="0" fontId="0" fillId="4" borderId="12" xfId="0" applyFill="1" applyBorder="1"/>
    <xf numFmtId="0" fontId="0" fillId="4" borderId="5" xfId="0" applyFill="1" applyBorder="1"/>
    <xf numFmtId="0" fontId="0" fillId="4" borderId="8" xfId="0" applyFill="1" applyBorder="1"/>
    <xf numFmtId="0" fontId="0" fillId="4" borderId="13" xfId="0" applyFill="1" applyBorder="1"/>
    <xf numFmtId="0" fontId="0" fillId="0" borderId="0" xfId="0" applyAlignment="1">
      <alignment horizontal="center" wrapText="1"/>
    </xf>
    <xf numFmtId="0" fontId="7" fillId="0" borderId="0" xfId="0" applyFont="1" applyAlignment="1">
      <alignment wrapText="1"/>
    </xf>
    <xf numFmtId="0" fontId="3" fillId="0" borderId="14" xfId="0" applyFont="1" applyBorder="1"/>
    <xf numFmtId="0" fontId="0" fillId="0" borderId="9" xfId="0" applyBorder="1"/>
    <xf numFmtId="0" fontId="3" fillId="0" borderId="9" xfId="0" applyFont="1" applyBorder="1"/>
    <xf numFmtId="0" fontId="7" fillId="6" borderId="11" xfId="0" applyFont="1" applyFill="1" applyBorder="1"/>
    <xf numFmtId="0" fontId="7" fillId="6" borderId="10" xfId="0" applyFont="1" applyFill="1" applyBorder="1"/>
    <xf numFmtId="0" fontId="3" fillId="4" borderId="3" xfId="0" applyFont="1" applyFill="1" applyBorder="1"/>
    <xf numFmtId="0" fontId="3" fillId="4" borderId="11" xfId="0" applyFont="1" applyFill="1" applyBorder="1"/>
    <xf numFmtId="0" fontId="3" fillId="4" borderId="10" xfId="0" applyFont="1" applyFill="1" applyBorder="1"/>
    <xf numFmtId="3" fontId="3" fillId="4" borderId="3" xfId="0" applyNumberFormat="1" applyFont="1" applyFill="1" applyBorder="1" applyAlignment="1">
      <alignment horizontal="center"/>
    </xf>
    <xf numFmtId="3" fontId="0" fillId="0" borderId="0" xfId="0" applyNumberFormat="1" applyAlignment="1">
      <alignment horizontal="center"/>
    </xf>
    <xf numFmtId="3" fontId="5" fillId="0" borderId="9" xfId="0" applyNumberFormat="1" applyFont="1" applyBorder="1" applyAlignment="1">
      <alignment horizontal="center"/>
    </xf>
    <xf numFmtId="3" fontId="5" fillId="0" borderId="11" xfId="0" applyNumberFormat="1" applyFont="1" applyBorder="1" applyAlignment="1">
      <alignment horizontal="center"/>
    </xf>
    <xf numFmtId="0" fontId="7" fillId="6" borderId="11" xfId="0" applyFont="1" applyFill="1" applyBorder="1" applyAlignment="1">
      <alignment wrapText="1"/>
    </xf>
    <xf numFmtId="0" fontId="7" fillId="0" borderId="4" xfId="0" applyFont="1" applyBorder="1" applyAlignment="1">
      <alignment horizontal="center" wrapText="1"/>
    </xf>
    <xf numFmtId="0" fontId="7" fillId="6" borderId="9" xfId="0" applyFont="1" applyFill="1" applyBorder="1" applyAlignment="1">
      <alignment wrapText="1"/>
    </xf>
    <xf numFmtId="0" fontId="7" fillId="6" borderId="10" xfId="0" applyFont="1" applyFill="1" applyBorder="1" applyAlignment="1">
      <alignment wrapText="1"/>
    </xf>
    <xf numFmtId="3" fontId="7" fillId="6" borderId="11" xfId="0" applyNumberFormat="1" applyFont="1" applyFill="1" applyBorder="1" applyAlignment="1">
      <alignment horizontal="center" wrapText="1"/>
    </xf>
    <xf numFmtId="3" fontId="7" fillId="6" borderId="9" xfId="0" applyNumberFormat="1" applyFont="1" applyFill="1" applyBorder="1" applyAlignment="1">
      <alignment horizontal="center" wrapText="1"/>
    </xf>
    <xf numFmtId="3" fontId="7" fillId="6" borderId="4" xfId="0" applyNumberFormat="1" applyFont="1" applyFill="1" applyBorder="1" applyAlignment="1">
      <alignment horizontal="center" wrapText="1"/>
    </xf>
    <xf numFmtId="3" fontId="7" fillId="6" borderId="0" xfId="0" applyNumberFormat="1" applyFont="1" applyFill="1" applyBorder="1" applyAlignment="1">
      <alignment horizontal="center" wrapText="1"/>
    </xf>
    <xf numFmtId="3" fontId="7" fillId="6" borderId="12" xfId="0" applyNumberFormat="1" applyFont="1" applyFill="1" applyBorder="1" applyAlignment="1">
      <alignment horizontal="center" wrapText="1"/>
    </xf>
    <xf numFmtId="3" fontId="7" fillId="6" borderId="10" xfId="0" applyNumberFormat="1" applyFont="1" applyFill="1" applyBorder="1" applyAlignment="1">
      <alignment horizontal="center" wrapText="1"/>
    </xf>
    <xf numFmtId="3" fontId="7" fillId="6" borderId="5" xfId="0" applyNumberFormat="1" applyFont="1" applyFill="1" applyBorder="1" applyAlignment="1">
      <alignment horizontal="center" wrapText="1"/>
    </xf>
    <xf numFmtId="3" fontId="7" fillId="6" borderId="8" xfId="0" applyNumberFormat="1" applyFont="1" applyFill="1" applyBorder="1" applyAlignment="1">
      <alignment horizontal="center" wrapText="1"/>
    </xf>
    <xf numFmtId="3" fontId="7" fillId="6" borderId="13" xfId="0" applyNumberFormat="1" applyFont="1" applyFill="1" applyBorder="1" applyAlignment="1">
      <alignment horizontal="center" wrapText="1"/>
    </xf>
    <xf numFmtId="3" fontId="3" fillId="0" borderId="8" xfId="0" applyNumberFormat="1" applyFont="1" applyBorder="1" applyAlignment="1">
      <alignment horizontal="center" wrapText="1"/>
    </xf>
    <xf numFmtId="3" fontId="3" fillId="0" borderId="0" xfId="0" applyNumberFormat="1" applyFont="1" applyBorder="1" applyAlignment="1">
      <alignment horizontal="center" wrapText="1"/>
    </xf>
    <xf numFmtId="3" fontId="5" fillId="0" borderId="15" xfId="0" applyNumberFormat="1" applyFont="1" applyBorder="1" applyAlignment="1">
      <alignment horizontal="center" vertical="center"/>
    </xf>
    <xf numFmtId="0" fontId="7" fillId="0" borderId="11" xfId="0" applyFont="1" applyBorder="1" applyAlignment="1">
      <alignment wrapText="1"/>
    </xf>
    <xf numFmtId="0" fontId="7" fillId="0" borderId="9" xfId="0" applyFont="1" applyBorder="1" applyAlignment="1">
      <alignment wrapText="1"/>
    </xf>
    <xf numFmtId="0" fontId="7" fillId="0" borderId="10" xfId="0" applyFont="1" applyBorder="1" applyAlignment="1">
      <alignment wrapText="1"/>
    </xf>
    <xf numFmtId="3" fontId="7" fillId="0" borderId="11" xfId="0" applyNumberFormat="1" applyFont="1" applyBorder="1" applyAlignment="1">
      <alignment horizontal="center" wrapText="1"/>
    </xf>
    <xf numFmtId="3" fontId="7" fillId="0" borderId="9" xfId="0" applyNumberFormat="1" applyFont="1" applyBorder="1" applyAlignment="1">
      <alignment horizontal="center" wrapText="1"/>
    </xf>
    <xf numFmtId="3" fontId="7" fillId="0" borderId="10" xfId="0" applyNumberFormat="1" applyFont="1" applyBorder="1" applyAlignment="1">
      <alignment horizontal="center" wrapText="1"/>
    </xf>
    <xf numFmtId="0" fontId="5" fillId="4" borderId="9" xfId="0" applyFont="1" applyFill="1" applyBorder="1"/>
    <xf numFmtId="0" fontId="3" fillId="4" borderId="9" xfId="0" applyFont="1" applyFill="1" applyBorder="1"/>
    <xf numFmtId="0" fontId="5" fillId="0" borderId="14" xfId="0" applyFont="1" applyBorder="1"/>
    <xf numFmtId="0" fontId="5" fillId="0" borderId="1" xfId="0" applyFont="1" applyBorder="1"/>
    <xf numFmtId="3" fontId="5" fillId="0" borderId="1" xfId="0" applyNumberFormat="1" applyFont="1" applyBorder="1" applyAlignment="1">
      <alignment horizontal="center"/>
    </xf>
    <xf numFmtId="3" fontId="5" fillId="0" borderId="1" xfId="0" applyNumberFormat="1" applyFont="1" applyBorder="1" applyAlignment="1">
      <alignment horizontal="center" vertical="center"/>
    </xf>
    <xf numFmtId="3" fontId="5" fillId="0" borderId="16" xfId="0" applyNumberFormat="1" applyFont="1" applyBorder="1" applyAlignment="1">
      <alignment horizontal="center" vertical="center"/>
    </xf>
    <xf numFmtId="3" fontId="5" fillId="0" borderId="17" xfId="0" applyNumberFormat="1" applyFont="1" applyBorder="1" applyAlignment="1">
      <alignment horizontal="center" vertical="center"/>
    </xf>
    <xf numFmtId="0" fontId="5" fillId="4" borderId="3" xfId="0" applyFont="1" applyFill="1" applyBorder="1"/>
    <xf numFmtId="0" fontId="3" fillId="4" borderId="14" xfId="0" applyFont="1" applyFill="1" applyBorder="1"/>
    <xf numFmtId="0" fontId="3" fillId="0" borderId="4" xfId="0" applyFont="1" applyBorder="1" applyAlignment="1">
      <alignment horizontal="center"/>
    </xf>
    <xf numFmtId="3" fontId="3" fillId="0" borderId="11" xfId="0" applyNumberFormat="1" applyFont="1" applyBorder="1" applyAlignment="1">
      <alignment horizontal="center" vertical="center"/>
    </xf>
    <xf numFmtId="9" fontId="0" fillId="0" borderId="11" xfId="0" applyNumberFormat="1" applyBorder="1" applyAlignment="1">
      <alignment horizontal="center" vertical="center"/>
    </xf>
    <xf numFmtId="0" fontId="7" fillId="6" borderId="0" xfId="0" applyFont="1" applyFill="1" applyAlignment="1">
      <alignment wrapText="1"/>
    </xf>
    <xf numFmtId="0" fontId="6" fillId="4" borderId="6" xfId="0" applyFont="1" applyFill="1" applyBorder="1"/>
    <xf numFmtId="0" fontId="7" fillId="6" borderId="3" xfId="0" applyFont="1" applyFill="1" applyBorder="1" applyAlignment="1">
      <alignment wrapText="1"/>
    </xf>
    <xf numFmtId="17" fontId="0" fillId="0" borderId="0" xfId="0" applyNumberFormat="1" applyAlignment="1">
      <alignment horizontal="center"/>
    </xf>
    <xf numFmtId="3" fontId="0" fillId="7" borderId="0" xfId="0" applyNumberFormat="1"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5" fillId="4" borderId="5" xfId="0" applyFont="1" applyFill="1" applyBorder="1" applyAlignment="1">
      <alignment vertical="center" wrapText="1"/>
    </xf>
    <xf numFmtId="0" fontId="0" fillId="4" borderId="5" xfId="0" applyFill="1" applyBorder="1" applyAlignment="1">
      <alignment vertical="center" wrapText="1"/>
    </xf>
    <xf numFmtId="0" fontId="6" fillId="0" borderId="4" xfId="0" applyFont="1" applyBorder="1"/>
    <xf numFmtId="9" fontId="0" fillId="0" borderId="9" xfId="0" applyNumberFormat="1" applyBorder="1" applyAlignment="1">
      <alignment horizontal="center" vertical="center"/>
    </xf>
    <xf numFmtId="0" fontId="6" fillId="4" borderId="11" xfId="0" applyFont="1" applyFill="1" applyBorder="1" applyAlignment="1">
      <alignment horizontal="left" vertical="center"/>
    </xf>
    <xf numFmtId="0" fontId="5" fillId="0" borderId="20" xfId="0" applyFont="1" applyFill="1" applyBorder="1"/>
    <xf numFmtId="0" fontId="5" fillId="0" borderId="11" xfId="0" applyFont="1" applyFill="1" applyBorder="1"/>
    <xf numFmtId="3" fontId="5" fillId="0" borderId="11" xfId="0" applyNumberFormat="1" applyFont="1" applyFill="1" applyBorder="1" applyAlignment="1">
      <alignment horizontal="center"/>
    </xf>
    <xf numFmtId="0" fontId="5" fillId="0" borderId="21" xfId="0" applyFont="1" applyFill="1" applyBorder="1"/>
    <xf numFmtId="0" fontId="5" fillId="0" borderId="9" xfId="0" applyFont="1" applyFill="1" applyBorder="1"/>
    <xf numFmtId="3" fontId="5" fillId="0" borderId="22" xfId="0" applyNumberFormat="1" applyFont="1" applyFill="1" applyBorder="1" applyAlignment="1">
      <alignment horizontal="center"/>
    </xf>
    <xf numFmtId="3" fontId="5" fillId="0" borderId="9" xfId="0" applyNumberFormat="1" applyFont="1" applyFill="1" applyBorder="1" applyAlignment="1">
      <alignment horizontal="center"/>
    </xf>
    <xf numFmtId="0" fontId="3" fillId="0" borderId="9" xfId="0" applyFont="1" applyFill="1" applyBorder="1"/>
    <xf numFmtId="0" fontId="9" fillId="6" borderId="6" xfId="0" applyFont="1" applyFill="1" applyBorder="1"/>
    <xf numFmtId="0" fontId="8" fillId="6" borderId="4" xfId="0" applyFont="1" applyFill="1" applyBorder="1" applyAlignment="1">
      <alignment wrapText="1"/>
    </xf>
    <xf numFmtId="0" fontId="0" fillId="0" borderId="11" xfId="0" applyBorder="1"/>
    <xf numFmtId="0" fontId="0" fillId="0" borderId="4" xfId="0"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4" borderId="4" xfId="0" applyFill="1" applyBorder="1" applyAlignment="1">
      <alignment vertical="top"/>
    </xf>
    <xf numFmtId="0" fontId="0" fillId="4" borderId="12" xfId="0" applyFill="1" applyBorder="1" applyAlignment="1">
      <alignment vertical="top"/>
    </xf>
    <xf numFmtId="0" fontId="0" fillId="0" borderId="0" xfId="0" applyAlignment="1">
      <alignment horizontal="right"/>
    </xf>
    <xf numFmtId="0" fontId="0" fillId="0" borderId="11" xfId="0" applyBorder="1" applyAlignment="1">
      <alignment horizontal="right" vertical="center"/>
    </xf>
    <xf numFmtId="3" fontId="0" fillId="0" borderId="11" xfId="0" applyNumberFormat="1" applyBorder="1" applyAlignment="1">
      <alignment horizontal="right" vertical="center"/>
    </xf>
    <xf numFmtId="0" fontId="0" fillId="0" borderId="10" xfId="0" applyBorder="1" applyAlignment="1">
      <alignment horizontal="right" vertical="center"/>
    </xf>
    <xf numFmtId="0" fontId="0" fillId="0" borderId="7" xfId="0" applyBorder="1" applyAlignment="1">
      <alignment horizontal="right"/>
    </xf>
    <xf numFmtId="10" fontId="0" fillId="4" borderId="11" xfId="0" applyNumberFormat="1" applyFill="1" applyBorder="1" applyAlignment="1">
      <alignment horizontal="right" vertical="center"/>
    </xf>
    <xf numFmtId="10" fontId="0" fillId="0" borderId="11" xfId="0" applyNumberFormat="1" applyBorder="1" applyAlignment="1">
      <alignment horizontal="right" vertical="center"/>
    </xf>
    <xf numFmtId="10" fontId="0" fillId="4" borderId="9" xfId="0" applyNumberFormat="1" applyFill="1" applyBorder="1" applyAlignment="1">
      <alignment horizontal="right" vertical="center"/>
    </xf>
    <xf numFmtId="10" fontId="0" fillId="0" borderId="9" xfId="0" applyNumberFormat="1" applyBorder="1" applyAlignment="1">
      <alignment horizontal="right" vertical="center"/>
    </xf>
    <xf numFmtId="0" fontId="3" fillId="0" borderId="0" xfId="0" applyFont="1" applyAlignment="1">
      <alignment horizontal="right"/>
    </xf>
    <xf numFmtId="0" fontId="3" fillId="0" borderId="4" xfId="0" applyFont="1" applyBorder="1" applyAlignment="1">
      <alignment horizontal="center" vertical="center"/>
    </xf>
    <xf numFmtId="3" fontId="5" fillId="0" borderId="23" xfId="0" applyNumberFormat="1" applyFont="1" applyBorder="1" applyAlignment="1">
      <alignment horizontal="center"/>
    </xf>
    <xf numFmtId="0" fontId="0" fillId="0" borderId="6" xfId="0" applyBorder="1"/>
    <xf numFmtId="164" fontId="0" fillId="4" borderId="21" xfId="0" applyNumberFormat="1" applyFill="1" applyBorder="1" applyAlignment="1" applyProtection="1">
      <alignment horizontal="right" vertical="top"/>
      <protection locked="0"/>
    </xf>
    <xf numFmtId="164" fontId="0" fillId="4" borderId="24" xfId="0" applyNumberFormat="1" applyFill="1" applyBorder="1" applyAlignment="1" applyProtection="1">
      <alignment horizontal="right" vertical="top"/>
      <protection locked="0"/>
    </xf>
    <xf numFmtId="0" fontId="0" fillId="4" borderId="24" xfId="0" applyFill="1" applyBorder="1" applyAlignment="1">
      <alignment vertical="top"/>
    </xf>
    <xf numFmtId="0" fontId="0" fillId="4" borderId="21" xfId="0" applyFill="1" applyBorder="1" applyAlignment="1">
      <alignment vertical="top"/>
    </xf>
    <xf numFmtId="0" fontId="0" fillId="4" borderId="25" xfId="0" applyFill="1" applyBorder="1" applyAlignment="1">
      <alignment vertical="top" wrapText="1"/>
    </xf>
    <xf numFmtId="0" fontId="3" fillId="4" borderId="14" xfId="0" applyFont="1" applyFill="1" applyBorder="1" applyAlignment="1">
      <alignment vertical="top"/>
    </xf>
    <xf numFmtId="0" fontId="0" fillId="4" borderId="3" xfId="0" applyFill="1" applyBorder="1" applyAlignment="1">
      <alignment vertical="top"/>
    </xf>
    <xf numFmtId="0" fontId="0" fillId="4" borderId="1" xfId="0" applyFill="1" applyBorder="1" applyAlignment="1">
      <alignment vertical="top"/>
    </xf>
    <xf numFmtId="164" fontId="3" fillId="4" borderId="3" xfId="0" applyNumberFormat="1" applyFont="1" applyFill="1" applyBorder="1" applyAlignment="1" applyProtection="1">
      <alignment horizontal="right" vertical="top"/>
      <protection locked="0"/>
    </xf>
    <xf numFmtId="0" fontId="0" fillId="4" borderId="21" xfId="0" applyFill="1" applyBorder="1" applyAlignment="1">
      <alignment horizontal="center" vertical="top"/>
    </xf>
    <xf numFmtId="0" fontId="0" fillId="0" borderId="9" xfId="0" applyBorder="1" applyAlignment="1">
      <alignment horizontal="center" vertical="top"/>
    </xf>
    <xf numFmtId="0" fontId="0" fillId="4" borderId="3" xfId="0" applyFill="1" applyBorder="1" applyAlignment="1">
      <alignment horizontal="center" vertical="top"/>
    </xf>
    <xf numFmtId="165" fontId="0" fillId="0" borderId="0" xfId="0" applyNumberFormat="1" applyAlignment="1">
      <alignment horizontal="center"/>
    </xf>
    <xf numFmtId="165" fontId="7" fillId="6" borderId="0" xfId="0" applyNumberFormat="1" applyFont="1" applyFill="1" applyBorder="1" applyAlignment="1">
      <alignment horizontal="center" wrapText="1"/>
    </xf>
    <xf numFmtId="165" fontId="7" fillId="6" borderId="8" xfId="0" applyNumberFormat="1" applyFont="1" applyFill="1" applyBorder="1" applyAlignment="1">
      <alignment horizontal="center" wrapText="1"/>
    </xf>
    <xf numFmtId="165" fontId="3" fillId="0" borderId="8" xfId="0" applyNumberFormat="1" applyFont="1" applyBorder="1" applyAlignment="1">
      <alignment horizontal="center" wrapText="1"/>
    </xf>
    <xf numFmtId="165" fontId="5" fillId="0" borderId="1" xfId="0" applyNumberFormat="1" applyFont="1" applyFill="1" applyBorder="1" applyAlignment="1">
      <alignment horizontal="center" vertical="center"/>
    </xf>
    <xf numFmtId="0" fontId="0" fillId="4" borderId="21" xfId="0" applyFill="1" applyBorder="1" applyAlignment="1">
      <alignment vertical="top" wrapText="1"/>
    </xf>
    <xf numFmtId="0" fontId="0" fillId="4" borderId="0" xfId="0" applyFill="1" applyBorder="1" applyAlignment="1">
      <alignment vertical="top" wrapText="1"/>
    </xf>
    <xf numFmtId="0" fontId="0" fillId="0" borderId="4" xfId="0" applyFill="1" applyBorder="1" applyAlignment="1">
      <alignment vertical="top"/>
    </xf>
    <xf numFmtId="0" fontId="0" fillId="0" borderId="9" xfId="0" applyFill="1" applyBorder="1" applyAlignment="1">
      <alignment vertical="top"/>
    </xf>
    <xf numFmtId="0" fontId="0" fillId="0" borderId="0" xfId="0" applyFill="1" applyBorder="1" applyAlignment="1">
      <alignment vertical="top" wrapText="1"/>
    </xf>
    <xf numFmtId="164" fontId="0" fillId="0" borderId="9" xfId="0" applyNumberFormat="1" applyFill="1" applyBorder="1" applyAlignment="1" applyProtection="1">
      <alignment horizontal="right" vertical="top"/>
      <protection locked="0"/>
    </xf>
    <xf numFmtId="164" fontId="0" fillId="0" borderId="4" xfId="0" applyNumberFormat="1" applyFill="1" applyBorder="1" applyAlignment="1" applyProtection="1">
      <alignment horizontal="right" vertical="top"/>
      <protection locked="0"/>
    </xf>
    <xf numFmtId="0" fontId="0" fillId="0" borderId="9" xfId="0" applyFill="1" applyBorder="1" applyAlignment="1">
      <alignment horizontal="center" vertical="top"/>
    </xf>
    <xf numFmtId="0" fontId="0" fillId="7" borderId="0" xfId="0" applyFill="1"/>
    <xf numFmtId="10" fontId="0" fillId="7" borderId="0" xfId="0" applyNumberFormat="1" applyFill="1" applyAlignment="1">
      <alignment horizontal="center"/>
    </xf>
    <xf numFmtId="0" fontId="1" fillId="0" borderId="0" xfId="0" applyFont="1" applyFill="1"/>
    <xf numFmtId="0" fontId="0" fillId="0" borderId="0" xfId="0" applyFill="1"/>
    <xf numFmtId="0" fontId="0" fillId="8" borderId="0" xfId="0" applyFill="1"/>
    <xf numFmtId="0" fontId="0" fillId="7" borderId="0" xfId="0" applyFill="1" applyAlignment="1">
      <alignment horizontal="left"/>
    </xf>
    <xf numFmtId="0" fontId="0" fillId="4" borderId="0" xfId="0" applyFill="1" applyAlignment="1">
      <alignment horizontal="left"/>
    </xf>
    <xf numFmtId="0" fontId="0" fillId="4" borderId="4" xfId="0" applyFill="1" applyBorder="1" applyAlignment="1">
      <alignment vertical="top" wrapText="1"/>
    </xf>
    <xf numFmtId="10" fontId="0" fillId="4" borderId="0" xfId="0" applyNumberFormat="1" applyFill="1" applyAlignment="1">
      <alignment horizontal="center"/>
    </xf>
    <xf numFmtId="9" fontId="0" fillId="4" borderId="0" xfId="0" applyNumberFormat="1" applyFill="1" applyAlignment="1">
      <alignment horizontal="center"/>
    </xf>
    <xf numFmtId="3" fontId="5" fillId="0" borderId="2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5" fillId="0" borderId="27" xfId="0" applyFont="1" applyFill="1" applyBorder="1"/>
    <xf numFmtId="0" fontId="0" fillId="4" borderId="12" xfId="0" applyFill="1" applyBorder="1" applyAlignment="1">
      <alignment vertical="top" wrapText="1"/>
    </xf>
    <xf numFmtId="164" fontId="5" fillId="0" borderId="20" xfId="0" applyNumberFormat="1" applyFont="1" applyFill="1" applyBorder="1" applyAlignment="1">
      <alignment horizontal="center"/>
    </xf>
    <xf numFmtId="164" fontId="5" fillId="0" borderId="22" xfId="0" applyNumberFormat="1" applyFont="1" applyFill="1" applyBorder="1" applyAlignment="1">
      <alignment horizontal="center"/>
    </xf>
    <xf numFmtId="167" fontId="5" fillId="0" borderId="20" xfId="0" applyNumberFormat="1" applyFont="1" applyFill="1" applyBorder="1" applyAlignment="1">
      <alignment horizontal="center" vertical="center"/>
    </xf>
    <xf numFmtId="167" fontId="5" fillId="0" borderId="22" xfId="0" applyNumberFormat="1" applyFont="1" applyFill="1" applyBorder="1" applyAlignment="1">
      <alignment horizontal="center" vertical="center"/>
    </xf>
    <xf numFmtId="167" fontId="3" fillId="4" borderId="10" xfId="0" applyNumberFormat="1" applyFont="1" applyFill="1" applyBorder="1" applyAlignment="1">
      <alignment horizontal="center" vertical="center"/>
    </xf>
    <xf numFmtId="164" fontId="3" fillId="4" borderId="9" xfId="0" applyNumberFormat="1" applyFont="1" applyFill="1" applyBorder="1" applyAlignment="1">
      <alignment horizontal="center"/>
    </xf>
    <xf numFmtId="0" fontId="3" fillId="0" borderId="0" xfId="0" applyFont="1" applyAlignment="1">
      <alignment horizontal="center" wrapText="1"/>
    </xf>
    <xf numFmtId="3" fontId="3" fillId="0" borderId="0" xfId="0" applyNumberFormat="1" applyFont="1" applyAlignment="1">
      <alignment horizontal="center" wrapText="1"/>
    </xf>
    <xf numFmtId="3" fontId="7" fillId="6" borderId="0" xfId="0" applyNumberFormat="1" applyFont="1" applyFill="1" applyAlignment="1">
      <alignment horizontal="center" wrapText="1"/>
    </xf>
    <xf numFmtId="168" fontId="3" fillId="4" borderId="10" xfId="0" applyNumberFormat="1" applyFont="1" applyFill="1" applyBorder="1" applyAlignment="1">
      <alignment horizontal="right"/>
    </xf>
    <xf numFmtId="168" fontId="3" fillId="0" borderId="0" xfId="0" applyNumberFormat="1" applyFont="1" applyAlignment="1">
      <alignment horizontal="right"/>
    </xf>
    <xf numFmtId="168" fontId="3" fillId="4" borderId="3" xfId="0" applyNumberFormat="1" applyFont="1" applyFill="1" applyBorder="1" applyAlignment="1">
      <alignment horizontal="right"/>
    </xf>
    <xf numFmtId="0" fontId="0" fillId="0" borderId="0" xfId="0" applyFill="1" applyBorder="1"/>
    <xf numFmtId="0" fontId="3" fillId="0" borderId="1" xfId="0" applyFont="1" applyBorder="1" applyAlignment="1">
      <alignment horizontal="center" vertical="center"/>
    </xf>
    <xf numFmtId="0" fontId="8" fillId="6" borderId="3" xfId="0" applyFont="1" applyFill="1" applyBorder="1" applyAlignment="1">
      <alignment wrapText="1"/>
    </xf>
    <xf numFmtId="0" fontId="7" fillId="0" borderId="0" xfId="0" applyFont="1" applyFill="1" applyBorder="1"/>
    <xf numFmtId="0" fontId="7" fillId="6" borderId="5" xfId="0" applyFont="1" applyFill="1" applyBorder="1"/>
    <xf numFmtId="0" fontId="7" fillId="6" borderId="8" xfId="0" applyFont="1" applyFill="1" applyBorder="1"/>
    <xf numFmtId="0" fontId="7" fillId="6" borderId="13" xfId="0" applyFont="1" applyFill="1" applyBorder="1"/>
    <xf numFmtId="0" fontId="11" fillId="0" borderId="0" xfId="0" applyFont="1"/>
    <xf numFmtId="0" fontId="0" fillId="4" borderId="24" xfId="0" applyFill="1" applyBorder="1" applyAlignment="1">
      <alignment vertical="top" wrapText="1"/>
    </xf>
    <xf numFmtId="0" fontId="3" fillId="0" borderId="6" xfId="0" applyFont="1" applyBorder="1" applyAlignment="1">
      <alignment horizontal="center" vertical="center"/>
    </xf>
    <xf numFmtId="0" fontId="3" fillId="0" borderId="0" xfId="0" applyFont="1" applyFill="1"/>
    <xf numFmtId="0" fontId="0" fillId="0" borderId="0" xfId="0" applyFill="1" applyAlignment="1">
      <alignment horizontal="center"/>
    </xf>
    <xf numFmtId="0" fontId="5" fillId="0" borderId="0" xfId="0" applyFont="1" applyFill="1" applyBorder="1"/>
    <xf numFmtId="169" fontId="0" fillId="0" borderId="11" xfId="1" applyNumberFormat="1" applyFont="1" applyBorder="1" applyAlignment="1">
      <alignment horizontal="right" vertical="center"/>
    </xf>
    <xf numFmtId="169" fontId="0" fillId="0" borderId="10" xfId="1" applyNumberFormat="1" applyFont="1" applyBorder="1" applyAlignment="1">
      <alignment horizontal="right" vertical="center"/>
    </xf>
    <xf numFmtId="169" fontId="0" fillId="0" borderId="10" xfId="1" applyNumberFormat="1" applyFont="1" applyFill="1" applyBorder="1" applyAlignment="1">
      <alignment horizontal="right" vertical="center"/>
    </xf>
    <xf numFmtId="2" fontId="0" fillId="7" borderId="0" xfId="0" applyNumberFormat="1" applyFill="1"/>
    <xf numFmtId="169" fontId="1" fillId="0" borderId="0" xfId="1" applyNumberFormat="1" applyAlignment="1">
      <alignment horizontal="center"/>
    </xf>
    <xf numFmtId="0" fontId="15" fillId="0" borderId="0" xfId="0" applyFont="1"/>
    <xf numFmtId="0" fontId="15" fillId="0" borderId="0" xfId="0" applyFont="1" applyFill="1" applyBorder="1"/>
    <xf numFmtId="17" fontId="15" fillId="0" borderId="0" xfId="0" applyNumberFormat="1" applyFont="1" applyAlignment="1">
      <alignment horizontal="center"/>
    </xf>
    <xf numFmtId="10" fontId="15" fillId="4" borderId="0" xfId="0" applyNumberFormat="1" applyFont="1" applyFill="1" applyAlignment="1">
      <alignment horizontal="center"/>
    </xf>
    <xf numFmtId="3" fontId="15" fillId="0" borderId="0" xfId="0" applyNumberFormat="1" applyFont="1" applyAlignment="1">
      <alignment horizontal="right"/>
    </xf>
    <xf numFmtId="0" fontId="15" fillId="0" borderId="0" xfId="0" applyFont="1" applyAlignment="1">
      <alignment horizontal="right"/>
    </xf>
    <xf numFmtId="168" fontId="15" fillId="4" borderId="11" xfId="0" applyNumberFormat="1" applyFont="1" applyFill="1" applyBorder="1" applyAlignment="1">
      <alignment horizontal="right"/>
    </xf>
    <xf numFmtId="168" fontId="15" fillId="0" borderId="0" xfId="0" applyNumberFormat="1" applyFont="1" applyAlignment="1">
      <alignment horizontal="right"/>
    </xf>
    <xf numFmtId="0" fontId="15" fillId="0" borderId="0" xfId="0" applyFont="1" applyFill="1"/>
    <xf numFmtId="0" fontId="15" fillId="4" borderId="9" xfId="0" applyFont="1" applyFill="1" applyBorder="1"/>
    <xf numFmtId="168" fontId="15" fillId="4" borderId="9" xfId="0" applyNumberFormat="1" applyFont="1" applyFill="1" applyBorder="1" applyAlignment="1">
      <alignment horizontal="right"/>
    </xf>
    <xf numFmtId="0" fontId="15" fillId="4" borderId="3" xfId="0" applyFont="1" applyFill="1" applyBorder="1"/>
    <xf numFmtId="0" fontId="15" fillId="4" borderId="10" xfId="0" applyFont="1" applyFill="1" applyBorder="1"/>
    <xf numFmtId="168" fontId="15" fillId="4" borderId="10" xfId="0" applyNumberFormat="1" applyFont="1" applyFill="1" applyBorder="1" applyAlignment="1">
      <alignment horizontal="right"/>
    </xf>
    <xf numFmtId="0" fontId="15" fillId="0" borderId="7" xfId="0" applyFont="1" applyFill="1" applyBorder="1"/>
    <xf numFmtId="0" fontId="5" fillId="0" borderId="0" xfId="0" applyFont="1" applyBorder="1"/>
    <xf numFmtId="0" fontId="3" fillId="0" borderId="29" xfId="0" applyFont="1" applyBorder="1"/>
    <xf numFmtId="0" fontId="3" fillId="0" borderId="30" xfId="0" applyFont="1" applyBorder="1"/>
    <xf numFmtId="0" fontId="9" fillId="0" borderId="6" xfId="0" applyFont="1" applyFill="1" applyBorder="1"/>
    <xf numFmtId="0" fontId="8" fillId="0" borderId="19" xfId="0" applyFont="1" applyFill="1" applyBorder="1" applyAlignment="1">
      <alignment horizontal="center" wrapText="1"/>
    </xf>
    <xf numFmtId="0" fontId="8" fillId="0" borderId="4" xfId="0" applyFont="1" applyFill="1" applyBorder="1" applyAlignment="1">
      <alignment wrapText="1"/>
    </xf>
    <xf numFmtId="0" fontId="8" fillId="6" borderId="3" xfId="0" applyFont="1" applyFill="1" applyBorder="1" applyAlignment="1">
      <alignment horizontal="center" wrapText="1"/>
    </xf>
    <xf numFmtId="0" fontId="8" fillId="0" borderId="12" xfId="0" applyFont="1" applyFill="1" applyBorder="1" applyAlignment="1">
      <alignment horizontal="center" wrapText="1"/>
    </xf>
    <xf numFmtId="0" fontId="3" fillId="0" borderId="1" xfId="0" applyFont="1" applyFill="1" applyBorder="1"/>
    <xf numFmtId="0" fontId="3" fillId="0" borderId="1" xfId="0" applyFont="1" applyBorder="1"/>
    <xf numFmtId="0" fontId="15" fillId="0" borderId="1" xfId="0" applyFont="1" applyBorder="1"/>
    <xf numFmtId="0" fontId="15" fillId="0" borderId="1" xfId="0" applyFont="1" applyFill="1" applyBorder="1"/>
    <xf numFmtId="0" fontId="15" fillId="0" borderId="19" xfId="0" applyFont="1" applyBorder="1"/>
    <xf numFmtId="0" fontId="3" fillId="4" borderId="11" xfId="0" applyFont="1" applyFill="1" applyBorder="1" applyAlignment="1">
      <alignment vertical="top"/>
    </xf>
    <xf numFmtId="0" fontId="3" fillId="0" borderId="11" xfId="0" applyFont="1" applyFill="1" applyBorder="1" applyAlignment="1">
      <alignment vertical="top"/>
    </xf>
    <xf numFmtId="164" fontId="15" fillId="0" borderId="20" xfId="0" applyNumberFormat="1" applyFont="1" applyFill="1" applyBorder="1" applyAlignment="1" applyProtection="1">
      <alignment horizontal="right" vertical="top"/>
      <protection locked="0"/>
    </xf>
    <xf numFmtId="0" fontId="3" fillId="14" borderId="20" xfId="0" applyFont="1" applyFill="1" applyBorder="1" applyAlignment="1">
      <alignment horizontal="center" vertical="top"/>
    </xf>
    <xf numFmtId="0" fontId="15" fillId="0" borderId="11" xfId="0" applyFont="1" applyFill="1" applyBorder="1" applyAlignment="1">
      <alignment horizontal="center" vertical="top"/>
    </xf>
    <xf numFmtId="0" fontId="15" fillId="4" borderId="9" xfId="0" applyFont="1" applyFill="1" applyBorder="1" applyAlignment="1">
      <alignment vertical="top"/>
    </xf>
    <xf numFmtId="0" fontId="15" fillId="0" borderId="9" xfId="0" applyFont="1" applyFill="1" applyBorder="1" applyAlignment="1">
      <alignment vertical="top"/>
    </xf>
    <xf numFmtId="164" fontId="15" fillId="0" borderId="21" xfId="0" applyNumberFormat="1" applyFont="1" applyFill="1" applyBorder="1" applyAlignment="1" applyProtection="1">
      <alignment horizontal="right" vertical="top"/>
      <protection locked="0"/>
    </xf>
    <xf numFmtId="0" fontId="3" fillId="8" borderId="21" xfId="0" applyFont="1" applyFill="1" applyBorder="1" applyAlignment="1">
      <alignment horizontal="center" vertical="top"/>
    </xf>
    <xf numFmtId="0" fontId="15" fillId="0" borderId="12" xfId="0" applyFont="1" applyFill="1" applyBorder="1" applyAlignment="1">
      <alignment horizontal="center" vertical="top"/>
    </xf>
    <xf numFmtId="0" fontId="15" fillId="4" borderId="4" xfId="0" applyFont="1" applyFill="1" applyBorder="1" applyAlignment="1">
      <alignment vertical="top"/>
    </xf>
    <xf numFmtId="0" fontId="15" fillId="0" borderId="4" xfId="0" applyFont="1" applyFill="1" applyBorder="1" applyAlignment="1">
      <alignment vertical="top"/>
    </xf>
    <xf numFmtId="0" fontId="3" fillId="4" borderId="5" xfId="0" applyFont="1" applyFill="1" applyBorder="1" applyAlignment="1">
      <alignment vertical="top"/>
    </xf>
    <xf numFmtId="0" fontId="3" fillId="0" borderId="5" xfId="0" applyFont="1" applyFill="1" applyBorder="1" applyAlignment="1">
      <alignment vertical="top"/>
    </xf>
    <xf numFmtId="0" fontId="15" fillId="4" borderId="5" xfId="0" applyFont="1" applyFill="1" applyBorder="1" applyAlignment="1">
      <alignment vertical="top"/>
    </xf>
    <xf numFmtId="0" fontId="15" fillId="0" borderId="10" xfId="0" applyFont="1" applyFill="1" applyBorder="1" applyAlignment="1">
      <alignment vertical="top"/>
    </xf>
    <xf numFmtId="164" fontId="3" fillId="4" borderId="10" xfId="0" applyNumberFormat="1" applyFont="1" applyFill="1" applyBorder="1" applyAlignment="1" applyProtection="1">
      <alignment horizontal="right" vertical="top"/>
      <protection locked="0"/>
    </xf>
    <xf numFmtId="0" fontId="3" fillId="14" borderId="10" xfId="0" applyFont="1" applyFill="1" applyBorder="1" applyAlignment="1">
      <alignment horizontal="center" vertical="top"/>
    </xf>
    <xf numFmtId="0" fontId="3" fillId="0" borderId="13" xfId="0" applyFont="1" applyFill="1" applyBorder="1" applyAlignment="1">
      <alignment horizontal="center" vertical="top"/>
    </xf>
    <xf numFmtId="0" fontId="15" fillId="0" borderId="14" xfId="0" applyFont="1" applyBorder="1" applyAlignment="1">
      <alignment vertical="top"/>
    </xf>
    <xf numFmtId="0" fontId="15" fillId="0" borderId="1" xfId="0" applyFont="1" applyFill="1" applyBorder="1" applyAlignment="1">
      <alignment vertical="top"/>
    </xf>
    <xf numFmtId="0" fontId="15" fillId="0" borderId="1" xfId="0" applyFont="1" applyBorder="1" applyAlignment="1">
      <alignment vertical="top"/>
    </xf>
    <xf numFmtId="0" fontId="3" fillId="0" borderId="1" xfId="0" applyFont="1" applyBorder="1" applyAlignment="1">
      <alignment horizontal="center" vertical="top"/>
    </xf>
    <xf numFmtId="0" fontId="15" fillId="0" borderId="1" xfId="0" applyFont="1" applyFill="1" applyBorder="1" applyAlignment="1">
      <alignment horizontal="center" vertical="top"/>
    </xf>
    <xf numFmtId="0" fontId="15" fillId="0" borderId="16" xfId="0" applyFont="1" applyBorder="1" applyAlignment="1">
      <alignment vertical="top"/>
    </xf>
    <xf numFmtId="0" fontId="3" fillId="8" borderId="20" xfId="0" applyFont="1" applyFill="1" applyBorder="1" applyAlignment="1">
      <alignment horizontal="center" vertical="top"/>
    </xf>
    <xf numFmtId="0" fontId="3" fillId="15" borderId="21" xfId="0" applyFont="1" applyFill="1" applyBorder="1" applyAlignment="1">
      <alignment horizontal="center" vertical="top"/>
    </xf>
    <xf numFmtId="0" fontId="3" fillId="0" borderId="10" xfId="0" applyFont="1" applyFill="1" applyBorder="1" applyAlignment="1">
      <alignment vertical="top"/>
    </xf>
    <xf numFmtId="0" fontId="3" fillId="4" borderId="3" xfId="0" applyFont="1" applyFill="1" applyBorder="1" applyAlignment="1">
      <alignment vertical="top"/>
    </xf>
    <xf numFmtId="0" fontId="3" fillId="0" borderId="1" xfId="0" applyFont="1" applyFill="1" applyBorder="1" applyAlignment="1">
      <alignment vertical="top"/>
    </xf>
    <xf numFmtId="0" fontId="15" fillId="0" borderId="16" xfId="0" applyFont="1" applyFill="1" applyBorder="1" applyAlignment="1">
      <alignment horizontal="center" vertical="top"/>
    </xf>
    <xf numFmtId="0" fontId="15" fillId="4" borderId="16" xfId="0" applyFont="1" applyFill="1" applyBorder="1" applyAlignment="1">
      <alignment vertical="top"/>
    </xf>
    <xf numFmtId="165" fontId="0" fillId="0" borderId="0" xfId="7" applyNumberFormat="1" applyFont="1" applyAlignment="1">
      <alignment horizontal="center"/>
    </xf>
    <xf numFmtId="0" fontId="15" fillId="0" borderId="31" xfId="0" applyFont="1" applyFill="1" applyBorder="1"/>
    <xf numFmtId="0" fontId="15" fillId="0" borderId="32" xfId="0" applyFont="1" applyFill="1" applyBorder="1"/>
    <xf numFmtId="169" fontId="1" fillId="0" borderId="0" xfId="1" applyNumberFormat="1" applyFill="1" applyAlignment="1">
      <alignment horizontal="center"/>
    </xf>
    <xf numFmtId="0" fontId="16" fillId="0" borderId="31" xfId="0" applyFont="1" applyFill="1" applyBorder="1"/>
    <xf numFmtId="169" fontId="1" fillId="0" borderId="0" xfId="1" applyNumberFormat="1" applyFill="1" applyBorder="1" applyAlignment="1">
      <alignment horizontal="center"/>
    </xf>
    <xf numFmtId="0" fontId="3" fillId="14" borderId="21" xfId="0" applyFont="1" applyFill="1" applyBorder="1" applyAlignment="1">
      <alignment horizontal="center" vertical="top"/>
    </xf>
    <xf numFmtId="0" fontId="0" fillId="4" borderId="0" xfId="0" applyFill="1" applyBorder="1" applyAlignment="1">
      <alignment vertical="top"/>
    </xf>
    <xf numFmtId="0" fontId="0" fillId="5" borderId="33" xfId="0" applyFill="1" applyBorder="1" applyAlignment="1">
      <alignment wrapText="1"/>
    </xf>
    <xf numFmtId="0" fontId="0" fillId="5" borderId="34" xfId="0" applyFill="1" applyBorder="1" applyAlignment="1">
      <alignment wrapText="1"/>
    </xf>
    <xf numFmtId="0" fontId="0" fillId="5" borderId="35" xfId="0" applyFill="1" applyBorder="1" applyAlignment="1">
      <alignment wrapText="1"/>
    </xf>
    <xf numFmtId="3" fontId="3" fillId="0" borderId="0" xfId="0" applyNumberFormat="1" applyFont="1" applyAlignment="1">
      <alignment horizontal="right"/>
    </xf>
    <xf numFmtId="0" fontId="7" fillId="6" borderId="6" xfId="0" applyFont="1" applyFill="1" applyBorder="1"/>
    <xf numFmtId="0" fontId="7" fillId="6" borderId="7" xfId="0" applyFont="1" applyFill="1" applyBorder="1"/>
    <xf numFmtId="0" fontId="7" fillId="6" borderId="19" xfId="0" applyFont="1" applyFill="1" applyBorder="1"/>
    <xf numFmtId="0" fontId="7" fillId="6" borderId="4" xfId="0" applyFont="1" applyFill="1" applyBorder="1"/>
    <xf numFmtId="0" fontId="7" fillId="6" borderId="0" xfId="0" applyFont="1" applyFill="1" applyBorder="1"/>
    <xf numFmtId="0" fontId="7" fillId="6" borderId="12" xfId="0" applyFont="1" applyFill="1" applyBorder="1"/>
    <xf numFmtId="0" fontId="3" fillId="4" borderId="36" xfId="0" applyFont="1" applyFill="1" applyBorder="1"/>
    <xf numFmtId="0" fontId="3" fillId="4" borderId="37" xfId="0" applyFont="1" applyFill="1" applyBorder="1"/>
    <xf numFmtId="0" fontId="3" fillId="4" borderId="18" xfId="0" applyFont="1" applyFill="1" applyBorder="1"/>
    <xf numFmtId="0" fontId="3" fillId="0" borderId="18" xfId="0" applyFont="1" applyBorder="1" applyAlignment="1">
      <alignment horizontal="center" vertical="center"/>
    </xf>
    <xf numFmtId="0" fontId="21" fillId="0" borderId="0" xfId="0" applyFont="1"/>
    <xf numFmtId="0" fontId="7" fillId="6" borderId="9" xfId="0" applyFont="1" applyFill="1" applyBorder="1"/>
    <xf numFmtId="0" fontId="15" fillId="4" borderId="28" xfId="0" applyFont="1" applyFill="1" applyBorder="1"/>
    <xf numFmtId="0" fontId="3" fillId="0" borderId="0" xfId="0" applyFont="1" applyFill="1" applyBorder="1"/>
    <xf numFmtId="0" fontId="3" fillId="0" borderId="33" xfId="0" applyFont="1" applyFill="1" applyBorder="1" applyAlignment="1">
      <alignment horizontal="left"/>
    </xf>
    <xf numFmtId="0" fontId="3" fillId="0" borderId="34" xfId="0" applyFont="1" applyFill="1" applyBorder="1" applyAlignment="1">
      <alignment horizontal="right"/>
    </xf>
    <xf numFmtId="0" fontId="3" fillId="0" borderId="35" xfId="0" applyFont="1" applyFill="1" applyBorder="1" applyAlignment="1">
      <alignment horizontal="right"/>
    </xf>
    <xf numFmtId="0" fontId="3" fillId="0" borderId="31" xfId="0" applyFont="1" applyFill="1" applyBorder="1"/>
    <xf numFmtId="0" fontId="3" fillId="0" borderId="32" xfId="0" applyFont="1" applyFill="1" applyBorder="1"/>
    <xf numFmtId="0" fontId="5" fillId="0" borderId="31" xfId="0" applyFont="1" applyFill="1" applyBorder="1"/>
    <xf numFmtId="0" fontId="5" fillId="0" borderId="32" xfId="0" applyFont="1" applyFill="1" applyBorder="1"/>
    <xf numFmtId="0" fontId="3" fillId="0" borderId="38" xfId="0" applyFont="1" applyFill="1" applyBorder="1"/>
    <xf numFmtId="0" fontId="3" fillId="0" borderId="39" xfId="0" applyFont="1" applyFill="1" applyBorder="1"/>
    <xf numFmtId="0" fontId="3" fillId="0" borderId="40" xfId="0" applyFont="1" applyFill="1" applyBorder="1"/>
    <xf numFmtId="0" fontId="3" fillId="0" borderId="41" xfId="0" applyFont="1" applyBorder="1"/>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1" fillId="0" borderId="0" xfId="0" applyFont="1" applyFill="1" applyBorder="1" applyAlignment="1">
      <alignment vertical="top" wrapText="1"/>
    </xf>
    <xf numFmtId="0" fontId="0" fillId="0" borderId="0" xfId="0" applyAlignment="1">
      <alignment horizontal="left" vertical="top"/>
    </xf>
    <xf numFmtId="0" fontId="0" fillId="0" borderId="0" xfId="0" applyBorder="1" applyAlignment="1">
      <alignment horizontal="left" vertical="top"/>
    </xf>
    <xf numFmtId="164" fontId="0" fillId="0" borderId="0" xfId="0" applyNumberFormat="1" applyAlignment="1">
      <alignment horizontal="center"/>
    </xf>
    <xf numFmtId="0" fontId="6" fillId="4" borderId="10" xfId="0" applyFont="1" applyFill="1" applyBorder="1" applyAlignment="1">
      <alignment horizontal="left" vertical="center"/>
    </xf>
    <xf numFmtId="0" fontId="0" fillId="5" borderId="4" xfId="0" applyFill="1" applyBorder="1" applyAlignment="1">
      <alignment horizontal="left" vertical="top" wrapText="1"/>
    </xf>
    <xf numFmtId="0" fontId="0" fillId="5" borderId="0" xfId="0" applyFill="1" applyBorder="1" applyAlignment="1">
      <alignment horizontal="left" vertical="top" wrapText="1"/>
    </xf>
    <xf numFmtId="0" fontId="0" fillId="5" borderId="12" xfId="0" applyFill="1" applyBorder="1" applyAlignment="1">
      <alignment horizontal="left" vertical="top" wrapText="1"/>
    </xf>
    <xf numFmtId="0" fontId="24" fillId="6" borderId="3" xfId="0" applyFont="1" applyFill="1" applyBorder="1" applyAlignment="1">
      <alignment horizontal="center" wrapText="1"/>
    </xf>
    <xf numFmtId="0" fontId="25" fillId="0" borderId="3" xfId="0" applyFont="1" applyBorder="1" applyAlignment="1">
      <alignment horizontal="center" wrapText="1"/>
    </xf>
    <xf numFmtId="0" fontId="25" fillId="0" borderId="3" xfId="0" applyFont="1" applyBorder="1" applyAlignment="1">
      <alignment wrapText="1"/>
    </xf>
    <xf numFmtId="0" fontId="24" fillId="6" borderId="3" xfId="0" applyFont="1" applyFill="1" applyBorder="1" applyAlignment="1">
      <alignment wrapText="1"/>
    </xf>
    <xf numFmtId="10" fontId="0" fillId="8" borderId="20" xfId="0" applyNumberFormat="1" applyFill="1" applyBorder="1" applyAlignment="1">
      <alignment horizontal="right" vertical="center"/>
    </xf>
    <xf numFmtId="164" fontId="5" fillId="0" borderId="9" xfId="0" applyNumberFormat="1" applyFont="1" applyFill="1" applyBorder="1" applyAlignment="1">
      <alignment horizontal="center"/>
    </xf>
    <xf numFmtId="165" fontId="3" fillId="0" borderId="0" xfId="0" applyNumberFormat="1" applyFont="1" applyAlignment="1">
      <alignment horizontal="center"/>
    </xf>
    <xf numFmtId="0" fontId="3" fillId="0" borderId="8" xfId="0" applyFont="1" applyFill="1" applyBorder="1" applyAlignment="1">
      <alignment vertical="top"/>
    </xf>
    <xf numFmtId="0" fontId="3" fillId="0" borderId="8" xfId="0" applyFont="1" applyFill="1" applyBorder="1" applyAlignment="1">
      <alignment horizontal="center" vertical="top"/>
    </xf>
    <xf numFmtId="164" fontId="3" fillId="0" borderId="8" xfId="0" applyNumberFormat="1" applyFont="1" applyFill="1" applyBorder="1" applyAlignment="1" applyProtection="1">
      <alignment horizontal="right" vertical="top"/>
      <protection locked="0"/>
    </xf>
    <xf numFmtId="0" fontId="3" fillId="0" borderId="0" xfId="0" applyFont="1" applyFill="1" applyBorder="1" applyAlignment="1">
      <alignment horizontal="center" vertical="top"/>
    </xf>
    <xf numFmtId="0" fontId="1" fillId="0" borderId="0" xfId="1" applyNumberFormat="1" applyFill="1" applyAlignment="1">
      <alignment horizontal="center"/>
    </xf>
    <xf numFmtId="0" fontId="0" fillId="4" borderId="31" xfId="0" applyFill="1" applyBorder="1"/>
    <xf numFmtId="0" fontId="0" fillId="4" borderId="32" xfId="0" applyFill="1" applyBorder="1"/>
    <xf numFmtId="0" fontId="0" fillId="4" borderId="38" xfId="0" applyFill="1" applyBorder="1"/>
    <xf numFmtId="0" fontId="0" fillId="4" borderId="39" xfId="0" applyFill="1" applyBorder="1"/>
    <xf numFmtId="0" fontId="0" fillId="4" borderId="40" xfId="0" applyFill="1" applyBorder="1"/>
    <xf numFmtId="0" fontId="0" fillId="0" borderId="33" xfId="0" applyFill="1" applyBorder="1"/>
    <xf numFmtId="0" fontId="0" fillId="0" borderId="35" xfId="0" applyFill="1" applyBorder="1"/>
    <xf numFmtId="0" fontId="0" fillId="0" borderId="31" xfId="0" applyFill="1" applyBorder="1"/>
    <xf numFmtId="0" fontId="0" fillId="0" borderId="32" xfId="0" applyFill="1" applyBorder="1"/>
    <xf numFmtId="0" fontId="0" fillId="0" borderId="38" xfId="0" applyFill="1" applyBorder="1"/>
    <xf numFmtId="0" fontId="0" fillId="0" borderId="39" xfId="0" applyFill="1" applyBorder="1"/>
    <xf numFmtId="0" fontId="0" fillId="0" borderId="40" xfId="0" applyFill="1" applyBorder="1"/>
    <xf numFmtId="10" fontId="0" fillId="14" borderId="28" xfId="0" applyNumberFormat="1" applyFill="1" applyBorder="1" applyAlignment="1">
      <alignment horizontal="right" vertical="center"/>
    </xf>
    <xf numFmtId="0" fontId="5" fillId="14" borderId="28" xfId="0" applyFont="1" applyFill="1" applyBorder="1" applyAlignment="1">
      <alignment horizontal="center" vertical="center"/>
    </xf>
    <xf numFmtId="3" fontId="0" fillId="16" borderId="3" xfId="0" applyNumberFormat="1" applyFill="1" applyBorder="1" applyAlignment="1">
      <alignment horizontal="right" vertical="top" wrapText="1"/>
    </xf>
    <xf numFmtId="3" fontId="0" fillId="16" borderId="3" xfId="0" applyNumberFormat="1" applyFill="1" applyBorder="1" applyAlignment="1">
      <alignment horizontal="right" vertical="center" wrapText="1"/>
    </xf>
    <xf numFmtId="0" fontId="26" fillId="16" borderId="3" xfId="0" applyFont="1" applyFill="1" applyBorder="1" applyAlignment="1">
      <alignment vertical="top" wrapText="1"/>
    </xf>
    <xf numFmtId="0" fontId="27" fillId="16" borderId="3" xfId="0" applyFont="1" applyFill="1" applyBorder="1" applyAlignment="1">
      <alignment vertical="center"/>
    </xf>
    <xf numFmtId="0" fontId="5" fillId="16" borderId="3" xfId="0" applyFont="1" applyFill="1" applyBorder="1" applyAlignment="1">
      <alignment wrapText="1"/>
    </xf>
    <xf numFmtId="0" fontId="15" fillId="16" borderId="3" xfId="0" applyFont="1" applyFill="1" applyBorder="1"/>
    <xf numFmtId="0" fontId="5" fillId="16" borderId="3" xfId="0" applyFont="1" applyFill="1" applyBorder="1" applyAlignment="1">
      <alignment horizontal="left" vertical="top" wrapText="1"/>
    </xf>
    <xf numFmtId="0" fontId="5" fillId="16" borderId="3" xfId="0" applyFont="1" applyFill="1" applyBorder="1"/>
    <xf numFmtId="0" fontId="29" fillId="0" borderId="0" xfId="0" applyFont="1" applyFill="1" applyBorder="1"/>
    <xf numFmtId="0" fontId="29" fillId="0" borderId="32" xfId="0" applyFont="1" applyFill="1" applyBorder="1"/>
    <xf numFmtId="0" fontId="29" fillId="0" borderId="31" xfId="0" applyFont="1" applyFill="1" applyBorder="1"/>
    <xf numFmtId="0" fontId="1" fillId="4" borderId="5" xfId="0" applyFont="1" applyFill="1" applyBorder="1" applyAlignment="1">
      <alignment vertical="center" wrapText="1"/>
    </xf>
    <xf numFmtId="0" fontId="3" fillId="4" borderId="4" xfId="0" applyFont="1" applyFill="1" applyBorder="1"/>
    <xf numFmtId="0" fontId="3" fillId="4" borderId="31" xfId="0" applyFont="1" applyFill="1" applyBorder="1"/>
    <xf numFmtId="0" fontId="0" fillId="4" borderId="31" xfId="0" applyFill="1" applyBorder="1" applyAlignment="1">
      <alignment vertical="top"/>
    </xf>
    <xf numFmtId="0" fontId="0" fillId="4" borderId="32" xfId="0" applyFill="1" applyBorder="1" applyAlignment="1">
      <alignment vertical="top"/>
    </xf>
    <xf numFmtId="0" fontId="0" fillId="4" borderId="32" xfId="0" applyFill="1" applyBorder="1" applyAlignment="1">
      <alignment vertical="top" wrapText="1"/>
    </xf>
    <xf numFmtId="0" fontId="0" fillId="0" borderId="0" xfId="0"/>
    <xf numFmtId="0" fontId="0" fillId="0" borderId="0" xfId="0" applyAlignment="1">
      <alignment wrapText="1"/>
    </xf>
    <xf numFmtId="0" fontId="5" fillId="0" borderId="0" xfId="0" applyFont="1"/>
    <xf numFmtId="0" fontId="0" fillId="0" borderId="49" xfId="0" applyBorder="1"/>
    <xf numFmtId="0" fontId="0" fillId="0" borderId="2" xfId="0" applyBorder="1"/>
    <xf numFmtId="0" fontId="0" fillId="0" borderId="17" xfId="0" applyBorder="1"/>
    <xf numFmtId="0" fontId="0" fillId="0" borderId="50" xfId="0" applyBorder="1"/>
    <xf numFmtId="0" fontId="0" fillId="0" borderId="51" xfId="0" applyBorder="1"/>
    <xf numFmtId="0" fontId="0" fillId="0" borderId="52" xfId="0" applyBorder="1"/>
    <xf numFmtId="168" fontId="0" fillId="0" borderId="2" xfId="0" applyNumberFormat="1" applyBorder="1"/>
    <xf numFmtId="168" fontId="0" fillId="0" borderId="51" xfId="0" applyNumberFormat="1" applyBorder="1"/>
    <xf numFmtId="0" fontId="3" fillId="0" borderId="36" xfId="0" applyFont="1" applyFill="1" applyBorder="1"/>
    <xf numFmtId="168" fontId="3" fillId="0" borderId="37" xfId="0" applyNumberFormat="1" applyFont="1" applyBorder="1"/>
    <xf numFmtId="0" fontId="3" fillId="0" borderId="18" xfId="0" applyFont="1" applyBorder="1"/>
    <xf numFmtId="0" fontId="1" fillId="0" borderId="21" xfId="0" applyFont="1" applyFill="1" applyBorder="1"/>
    <xf numFmtId="0" fontId="0" fillId="0" borderId="47" xfId="0" applyBorder="1"/>
    <xf numFmtId="0" fontId="0" fillId="0" borderId="48" xfId="0" applyBorder="1"/>
    <xf numFmtId="168" fontId="0" fillId="0" borderId="48" xfId="0" applyNumberFormat="1" applyBorder="1"/>
    <xf numFmtId="0" fontId="0" fillId="0" borderId="15" xfId="0" applyBorder="1"/>
    <xf numFmtId="168" fontId="0" fillId="0" borderId="51" xfId="0" applyNumberFormat="1" applyFill="1" applyBorder="1"/>
    <xf numFmtId="0" fontId="1" fillId="0" borderId="17" xfId="0" applyFont="1" applyBorder="1"/>
    <xf numFmtId="0" fontId="1" fillId="0" borderId="52" xfId="0" applyFont="1" applyBorder="1"/>
    <xf numFmtId="0" fontId="1" fillId="4" borderId="4" xfId="0" applyFont="1" applyFill="1" applyBorder="1" applyAlignment="1">
      <alignment vertical="top" wrapText="1"/>
    </xf>
    <xf numFmtId="0" fontId="1" fillId="4" borderId="0" xfId="0" applyFont="1" applyFill="1" applyBorder="1" applyAlignment="1">
      <alignment vertical="top" wrapText="1"/>
    </xf>
    <xf numFmtId="0" fontId="1" fillId="4" borderId="12" xfId="0" applyFont="1" applyFill="1" applyBorder="1" applyAlignment="1">
      <alignment vertical="top" wrapText="1"/>
    </xf>
    <xf numFmtId="0" fontId="1" fillId="4" borderId="5" xfId="0" applyFont="1" applyFill="1" applyBorder="1" applyAlignment="1">
      <alignment vertical="top" wrapText="1"/>
    </xf>
    <xf numFmtId="0" fontId="1" fillId="4" borderId="8" xfId="0" applyFont="1" applyFill="1" applyBorder="1" applyAlignment="1">
      <alignment vertical="top" wrapText="1"/>
    </xf>
    <xf numFmtId="0" fontId="1" fillId="4" borderId="13" xfId="0" applyFont="1" applyFill="1" applyBorder="1" applyAlignment="1">
      <alignment vertical="top" wrapText="1"/>
    </xf>
    <xf numFmtId="0" fontId="1" fillId="0" borderId="27" xfId="0" applyFont="1" applyFill="1" applyBorder="1"/>
    <xf numFmtId="0" fontId="0" fillId="0" borderId="0" xfId="0"/>
    <xf numFmtId="164" fontId="3" fillId="4" borderId="3" xfId="0" applyNumberFormat="1" applyFont="1" applyFill="1" applyBorder="1" applyAlignment="1">
      <alignment horizontal="center"/>
    </xf>
    <xf numFmtId="0" fontId="0" fillId="0" borderId="0" xfId="0" applyFill="1" applyAlignment="1">
      <alignment horizontal="left"/>
    </xf>
    <xf numFmtId="3" fontId="0" fillId="0" borderId="0" xfId="0" applyNumberFormat="1" applyFill="1" applyAlignment="1">
      <alignment horizont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169" fontId="0" fillId="0" borderId="0" xfId="1" applyNumberFormat="1" applyFont="1" applyFill="1" applyBorder="1"/>
    <xf numFmtId="3" fontId="0" fillId="0" borderId="0" xfId="0" applyNumberFormat="1" applyFill="1" applyBorder="1"/>
    <xf numFmtId="0" fontId="15" fillId="0" borderId="0" xfId="0" applyFont="1" applyFill="1" applyBorder="1" applyAlignment="1">
      <alignment horizontal="right"/>
    </xf>
    <xf numFmtId="0" fontId="15" fillId="0" borderId="0" xfId="0" applyFont="1" applyFill="1" applyBorder="1" applyAlignment="1">
      <alignment horizontal="right" vertical="center"/>
    </xf>
    <xf numFmtId="0" fontId="15" fillId="0" borderId="0" xfId="0" applyFont="1" applyFill="1" applyBorder="1" applyAlignment="1"/>
    <xf numFmtId="0" fontId="15" fillId="0" borderId="0" xfId="0" applyFont="1" applyFill="1" applyBorder="1" applyAlignment="1">
      <alignment vertical="center"/>
    </xf>
    <xf numFmtId="166" fontId="0" fillId="0" borderId="0" xfId="1" applyNumberFormat="1" applyFont="1" applyFill="1" applyBorder="1"/>
    <xf numFmtId="0" fontId="14"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3" fillId="0" borderId="0" xfId="0" applyFont="1" applyFill="1" applyBorder="1" applyAlignment="1">
      <alignment horizontal="left" vertical="center"/>
    </xf>
    <xf numFmtId="0" fontId="0" fillId="0" borderId="0" xfId="0" applyFill="1" applyBorder="1" applyAlignment="1">
      <alignment horizontal="center"/>
    </xf>
    <xf numFmtId="0" fontId="15" fillId="0" borderId="0" xfId="0" applyFont="1" applyFill="1" applyBorder="1" applyAlignment="1">
      <alignment horizontal="center"/>
    </xf>
    <xf numFmtId="0" fontId="15" fillId="0" borderId="0" xfId="0" applyFont="1" applyFill="1" applyBorder="1" applyAlignment="1">
      <alignment horizontal="center" vertical="center"/>
    </xf>
    <xf numFmtId="170" fontId="13" fillId="0" borderId="0" xfId="0" applyNumberFormat="1" applyFont="1" applyFill="1" applyBorder="1" applyAlignment="1">
      <alignment horizontal="center" vertical="center"/>
    </xf>
    <xf numFmtId="0" fontId="13" fillId="0" borderId="0" xfId="0" applyFont="1" applyFill="1" applyBorder="1" applyAlignment="1">
      <alignment horizontal="right" vertical="center"/>
    </xf>
    <xf numFmtId="0" fontId="12" fillId="0" borderId="0" xfId="0" applyFont="1" applyFill="1" applyBorder="1" applyAlignment="1">
      <alignment horizontal="left"/>
    </xf>
    <xf numFmtId="170" fontId="12" fillId="0" borderId="0" xfId="0" applyNumberFormat="1" applyFont="1" applyFill="1" applyBorder="1" applyAlignment="1">
      <alignment horizontal="center"/>
    </xf>
    <xf numFmtId="170" fontId="0" fillId="0" borderId="0" xfId="0" applyNumberFormat="1" applyFill="1" applyBorder="1"/>
    <xf numFmtId="0" fontId="30" fillId="9" borderId="0" xfId="0" applyFont="1" applyFill="1" applyAlignment="1">
      <alignment vertical="center"/>
    </xf>
    <xf numFmtId="0" fontId="24" fillId="10" borderId="53" xfId="0" applyFont="1" applyFill="1" applyBorder="1" applyAlignment="1">
      <alignment horizontal="center"/>
    </xf>
    <xf numFmtId="0" fontId="24" fillId="10" borderId="53" xfId="0" applyFont="1" applyFill="1" applyBorder="1" applyAlignment="1">
      <alignment horizontal="left"/>
    </xf>
    <xf numFmtId="0" fontId="12" fillId="9" borderId="53" xfId="0" applyFont="1" applyFill="1" applyBorder="1" applyAlignment="1">
      <alignment horizontal="left"/>
    </xf>
    <xf numFmtId="166" fontId="12" fillId="9" borderId="53" xfId="0" applyNumberFormat="1" applyFont="1" applyFill="1" applyBorder="1" applyAlignment="1">
      <alignment horizontal="right"/>
    </xf>
    <xf numFmtId="0" fontId="12" fillId="11" borderId="53" xfId="0" applyFont="1" applyFill="1" applyBorder="1" applyAlignment="1">
      <alignment horizontal="left"/>
    </xf>
    <xf numFmtId="0" fontId="12" fillId="12" borderId="53" xfId="0" applyFont="1" applyFill="1" applyBorder="1" applyAlignment="1">
      <alignment horizontal="left"/>
    </xf>
    <xf numFmtId="0" fontId="12" fillId="13" borderId="53" xfId="0" applyFont="1" applyFill="1" applyBorder="1" applyAlignment="1">
      <alignment horizontal="left"/>
    </xf>
    <xf numFmtId="0" fontId="12" fillId="9" borderId="53" xfId="0" applyFont="1" applyFill="1" applyBorder="1" applyAlignment="1">
      <alignment horizontal="left" vertical="center"/>
    </xf>
    <xf numFmtId="0" fontId="12" fillId="9" borderId="53" xfId="0" applyFont="1" applyFill="1" applyBorder="1" applyAlignment="1">
      <alignment horizontal="right" vertical="center"/>
    </xf>
    <xf numFmtId="166" fontId="12" fillId="9" borderId="53" xfId="0" applyNumberFormat="1" applyFont="1" applyFill="1" applyBorder="1" applyAlignment="1">
      <alignment horizontal="right" vertical="center"/>
    </xf>
    <xf numFmtId="0" fontId="14" fillId="9" borderId="0" xfId="0" applyFont="1" applyFill="1" applyAlignment="1">
      <alignment vertical="center"/>
    </xf>
    <xf numFmtId="175" fontId="12" fillId="9" borderId="53" xfId="0" applyNumberFormat="1" applyFont="1" applyFill="1" applyBorder="1" applyAlignment="1">
      <alignment horizontal="right" vertical="center"/>
    </xf>
    <xf numFmtId="0" fontId="12" fillId="13" borderId="53" xfId="0" applyFont="1" applyFill="1" applyBorder="1" applyAlignment="1">
      <alignment horizontal="left" vertical="center"/>
    </xf>
    <xf numFmtId="0" fontId="0" fillId="19" borderId="0" xfId="0" applyFill="1" applyBorder="1"/>
    <xf numFmtId="169" fontId="15" fillId="16" borderId="3" xfId="1" applyNumberFormat="1" applyFont="1" applyFill="1" applyBorder="1"/>
    <xf numFmtId="169" fontId="15" fillId="0" borderId="0" xfId="1" applyNumberFormat="1" applyFont="1"/>
    <xf numFmtId="169" fontId="5" fillId="16" borderId="3" xfId="1" applyNumberFormat="1" applyFont="1" applyFill="1" applyBorder="1" applyAlignment="1">
      <alignment horizontal="right" vertical="top" wrapText="1"/>
    </xf>
    <xf numFmtId="0" fontId="0" fillId="4" borderId="4" xfId="0" applyFill="1" applyBorder="1"/>
    <xf numFmtId="0" fontId="0" fillId="4" borderId="0" xfId="0" applyFill="1" applyBorder="1"/>
    <xf numFmtId="0" fontId="0" fillId="4" borderId="12" xfId="0" applyFill="1" applyBorder="1"/>
    <xf numFmtId="0" fontId="0" fillId="4" borderId="5" xfId="0" applyFill="1" applyBorder="1"/>
    <xf numFmtId="0" fontId="0" fillId="4" borderId="8" xfId="0" applyFill="1" applyBorder="1"/>
    <xf numFmtId="0" fontId="0" fillId="4" borderId="13" xfId="0" applyFill="1" applyBorder="1"/>
    <xf numFmtId="0" fontId="0" fillId="4" borderId="4" xfId="0" applyFill="1" applyBorder="1" applyAlignment="1">
      <alignment vertical="top"/>
    </xf>
    <xf numFmtId="0" fontId="0" fillId="4" borderId="12" xfId="0" applyFill="1" applyBorder="1" applyAlignment="1">
      <alignment vertical="top"/>
    </xf>
    <xf numFmtId="0" fontId="0" fillId="4" borderId="0" xfId="0" applyFill="1" applyBorder="1" applyAlignment="1">
      <alignment vertical="top" wrapText="1"/>
    </xf>
    <xf numFmtId="0" fontId="0" fillId="4" borderId="4" xfId="0" applyFill="1" applyBorder="1" applyAlignment="1">
      <alignment vertical="top" wrapText="1"/>
    </xf>
    <xf numFmtId="0" fontId="0" fillId="4" borderId="12" xfId="0" applyFill="1" applyBorder="1" applyAlignment="1">
      <alignment vertical="top" wrapText="1"/>
    </xf>
    <xf numFmtId="0" fontId="0" fillId="4" borderId="0" xfId="0" applyFill="1" applyBorder="1" applyAlignment="1">
      <alignment vertical="top"/>
    </xf>
    <xf numFmtId="0" fontId="15" fillId="0" borderId="0" xfId="0" applyFont="1" applyFill="1" applyBorder="1" applyAlignment="1">
      <alignment horizontal="left"/>
    </xf>
    <xf numFmtId="10" fontId="0" fillId="20" borderId="20" xfId="0" applyNumberFormat="1" applyFill="1" applyBorder="1" applyAlignment="1">
      <alignment horizontal="right" vertical="center"/>
    </xf>
    <xf numFmtId="0" fontId="4" fillId="4" borderId="56" xfId="0" applyFont="1" applyFill="1" applyBorder="1" applyAlignment="1">
      <alignment horizontal="center" vertical="center"/>
    </xf>
    <xf numFmtId="0" fontId="31" fillId="0" borderId="0" xfId="0" applyFont="1"/>
    <xf numFmtId="6"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0" fillId="4" borderId="11" xfId="0" applyFill="1" applyBorder="1" applyAlignment="1">
      <alignment horizontal="right" vertical="center"/>
    </xf>
    <xf numFmtId="0" fontId="0" fillId="4" borderId="10" xfId="0" applyFill="1" applyBorder="1" applyAlignment="1">
      <alignment horizontal="right" vertical="center"/>
    </xf>
    <xf numFmtId="0" fontId="3" fillId="0" borderId="11" xfId="0" applyFont="1" applyBorder="1" applyAlignment="1">
      <alignment horizontal="center" vertical="center"/>
    </xf>
    <xf numFmtId="169" fontId="0" fillId="4" borderId="11" xfId="1" applyNumberFormat="1" applyFont="1" applyFill="1" applyBorder="1" applyAlignment="1">
      <alignment horizontal="right" vertical="center"/>
    </xf>
    <xf numFmtId="169" fontId="0" fillId="4" borderId="10" xfId="1" applyNumberFormat="1" applyFont="1" applyFill="1" applyBorder="1" applyAlignment="1">
      <alignment horizontal="right" vertical="center"/>
    </xf>
    <xf numFmtId="3" fontId="7" fillId="6" borderId="6" xfId="0" applyNumberFormat="1" applyFont="1" applyFill="1" applyBorder="1" applyAlignment="1">
      <alignment horizontal="center" wrapText="1"/>
    </xf>
    <xf numFmtId="3" fontId="7" fillId="6" borderId="7" xfId="0" applyNumberFormat="1" applyFont="1" applyFill="1" applyBorder="1" applyAlignment="1">
      <alignment horizontal="center" wrapText="1"/>
    </xf>
    <xf numFmtId="3" fontId="7" fillId="6" borderId="19" xfId="0" applyNumberFormat="1" applyFont="1" applyFill="1" applyBorder="1" applyAlignment="1">
      <alignment horizontal="center" wrapText="1"/>
    </xf>
    <xf numFmtId="0" fontId="8" fillId="6" borderId="11" xfId="0" applyFont="1" applyFill="1" applyBorder="1" applyAlignment="1">
      <alignment horizontal="center" wrapText="1"/>
    </xf>
    <xf numFmtId="0" fontId="8" fillId="6" borderId="6" xfId="0" applyFont="1" applyFill="1" applyBorder="1" applyAlignment="1">
      <alignment horizontal="center" wrapText="1"/>
    </xf>
    <xf numFmtId="0" fontId="8" fillId="6" borderId="7" xfId="0" applyFont="1" applyFill="1" applyBorder="1" applyAlignment="1">
      <alignment horizontal="center" wrapText="1"/>
    </xf>
    <xf numFmtId="0" fontId="8" fillId="6" borderId="0" xfId="0" applyFont="1" applyFill="1" applyBorder="1" applyAlignment="1">
      <alignment horizontal="center" wrapText="1"/>
    </xf>
    <xf numFmtId="0" fontId="8" fillId="6" borderId="9" xfId="0" applyFont="1" applyFill="1" applyBorder="1" applyAlignment="1">
      <alignment horizontal="center" wrapText="1"/>
    </xf>
    <xf numFmtId="0" fontId="8" fillId="6" borderId="10" xfId="0" applyFont="1" applyFill="1" applyBorder="1" applyAlignment="1">
      <alignment horizontal="center" wrapText="1"/>
    </xf>
    <xf numFmtId="0" fontId="8" fillId="6" borderId="19" xfId="0" applyFont="1" applyFill="1" applyBorder="1" applyAlignment="1">
      <alignment horizontal="center" wrapText="1"/>
    </xf>
    <xf numFmtId="0" fontId="8" fillId="6" borderId="12" xfId="0" applyFont="1" applyFill="1" applyBorder="1" applyAlignment="1">
      <alignment horizontal="center" wrapText="1"/>
    </xf>
    <xf numFmtId="0" fontId="15" fillId="4" borderId="19" xfId="0" applyFont="1" applyFill="1" applyBorder="1" applyAlignment="1">
      <alignment vertical="top" wrapText="1"/>
    </xf>
    <xf numFmtId="0" fontId="15" fillId="0" borderId="12" xfId="0" applyFont="1"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1" fillId="5" borderId="4" xfId="0" applyNumberFormat="1" applyFont="1" applyFill="1" applyBorder="1" applyAlignment="1">
      <alignment vertical="top" wrapText="1"/>
    </xf>
    <xf numFmtId="0" fontId="0" fillId="5" borderId="0" xfId="0" applyFill="1" applyBorder="1" applyAlignment="1">
      <alignment vertical="top" wrapText="1"/>
    </xf>
    <xf numFmtId="0" fontId="0" fillId="0" borderId="0" xfId="0" applyBorder="1" applyAlignment="1">
      <alignment wrapText="1"/>
    </xf>
    <xf numFmtId="0" fontId="0" fillId="0" borderId="12" xfId="0" applyBorder="1" applyAlignment="1">
      <alignment wrapText="1"/>
    </xf>
    <xf numFmtId="0" fontId="0" fillId="5" borderId="4" xfId="0" applyFill="1" applyBorder="1" applyAlignment="1">
      <alignment vertical="top" wrapText="1"/>
    </xf>
    <xf numFmtId="0" fontId="0" fillId="0" borderId="4" xfId="0" applyBorder="1" applyAlignment="1">
      <alignment wrapText="1"/>
    </xf>
    <xf numFmtId="0" fontId="0" fillId="0" borderId="5" xfId="0" applyBorder="1" applyAlignment="1">
      <alignment wrapText="1"/>
    </xf>
    <xf numFmtId="0" fontId="0" fillId="0" borderId="8" xfId="0" applyBorder="1" applyAlignment="1">
      <alignment wrapText="1"/>
    </xf>
    <xf numFmtId="0" fontId="0" fillId="0" borderId="13" xfId="0" applyBorder="1" applyAlignment="1">
      <alignment wrapText="1"/>
    </xf>
    <xf numFmtId="0" fontId="7" fillId="17" borderId="6" xfId="0" applyFont="1" applyFill="1" applyBorder="1" applyAlignment="1">
      <alignment horizontal="center"/>
    </xf>
    <xf numFmtId="0" fontId="7" fillId="17" borderId="7" xfId="0" applyFont="1" applyFill="1" applyBorder="1" applyAlignment="1">
      <alignment horizontal="center"/>
    </xf>
    <xf numFmtId="0" fontId="7" fillId="17" borderId="19" xfId="0" applyFont="1" applyFill="1" applyBorder="1" applyAlignment="1">
      <alignment horizontal="center"/>
    </xf>
    <xf numFmtId="0" fontId="7" fillId="18" borderId="6" xfId="0" applyFont="1" applyFill="1" applyBorder="1" applyAlignment="1">
      <alignment horizontal="center" wrapText="1"/>
    </xf>
    <xf numFmtId="0" fontId="7" fillId="18" borderId="7" xfId="0" applyFont="1" applyFill="1" applyBorder="1" applyAlignment="1">
      <alignment horizontal="center" wrapText="1"/>
    </xf>
    <xf numFmtId="0" fontId="0" fillId="0" borderId="7" xfId="0" applyBorder="1" applyAlignment="1">
      <alignment wrapText="1"/>
    </xf>
    <xf numFmtId="0" fontId="0" fillId="0" borderId="19" xfId="0" applyBorder="1" applyAlignment="1">
      <alignment wrapText="1"/>
    </xf>
    <xf numFmtId="0" fontId="0" fillId="4" borderId="4" xfId="0" applyFill="1" applyBorder="1" applyAlignment="1">
      <alignment horizontal="left" vertical="top" wrapText="1"/>
    </xf>
    <xf numFmtId="0" fontId="0" fillId="4" borderId="0" xfId="0" applyFill="1" applyBorder="1" applyAlignment="1">
      <alignment horizontal="left" vertical="top" wrapText="1"/>
    </xf>
    <xf numFmtId="0" fontId="0" fillId="4" borderId="12" xfId="0" applyFill="1" applyBorder="1" applyAlignment="1">
      <alignment horizontal="left" vertical="top" wrapText="1"/>
    </xf>
    <xf numFmtId="0" fontId="0" fillId="4" borderId="5" xfId="0" applyFill="1" applyBorder="1" applyAlignment="1">
      <alignment horizontal="left" vertical="top" wrapText="1"/>
    </xf>
    <xf numFmtId="0" fontId="0" fillId="4" borderId="8" xfId="0" applyFill="1" applyBorder="1" applyAlignment="1">
      <alignment horizontal="left" vertical="top" wrapText="1"/>
    </xf>
    <xf numFmtId="0" fontId="0" fillId="4" borderId="13" xfId="0" applyFill="1" applyBorder="1" applyAlignment="1">
      <alignment horizontal="left" vertical="top" wrapText="1"/>
    </xf>
    <xf numFmtId="0" fontId="7" fillId="18" borderId="19" xfId="0" applyFont="1" applyFill="1" applyBorder="1" applyAlignment="1">
      <alignment horizontal="center" wrapText="1"/>
    </xf>
    <xf numFmtId="0" fontId="1" fillId="4" borderId="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3" fillId="4" borderId="4" xfId="0" applyFont="1" applyFill="1" applyBorder="1" applyAlignment="1">
      <alignment wrapText="1"/>
    </xf>
    <xf numFmtId="0" fontId="3" fillId="4" borderId="0" xfId="0" applyFont="1" applyFill="1" applyBorder="1" applyAlignment="1">
      <alignment wrapText="1"/>
    </xf>
    <xf numFmtId="0" fontId="3" fillId="4" borderId="12" xfId="0" applyFont="1" applyFill="1" applyBorder="1" applyAlignment="1">
      <alignment wrapText="1"/>
    </xf>
    <xf numFmtId="0" fontId="0" fillId="5" borderId="0" xfId="0" applyNumberFormat="1" applyFill="1" applyBorder="1" applyAlignment="1">
      <alignment vertical="top" wrapText="1"/>
    </xf>
    <xf numFmtId="0" fontId="0" fillId="5" borderId="12" xfId="0" applyNumberFormat="1" applyFill="1" applyBorder="1" applyAlignment="1">
      <alignment vertical="top" wrapText="1"/>
    </xf>
    <xf numFmtId="0" fontId="0" fillId="5" borderId="4" xfId="0" applyNumberFormat="1" applyFill="1" applyBorder="1" applyAlignment="1">
      <alignment vertical="top" wrapText="1"/>
    </xf>
    <xf numFmtId="0" fontId="0" fillId="5" borderId="5" xfId="0" applyNumberFormat="1" applyFill="1" applyBorder="1" applyAlignment="1">
      <alignment vertical="top" wrapText="1"/>
    </xf>
    <xf numFmtId="0" fontId="0" fillId="5" borderId="8" xfId="0" applyNumberFormat="1" applyFill="1" applyBorder="1" applyAlignment="1">
      <alignment vertical="top" wrapText="1"/>
    </xf>
    <xf numFmtId="0" fontId="0" fillId="5" borderId="13" xfId="0" applyNumberFormat="1" applyFill="1" applyBorder="1" applyAlignment="1">
      <alignment vertical="top" wrapText="1"/>
    </xf>
    <xf numFmtId="0" fontId="3" fillId="4" borderId="4" xfId="0" applyFont="1" applyFill="1" applyBorder="1" applyAlignment="1">
      <alignment vertical="top" wrapText="1"/>
    </xf>
    <xf numFmtId="0" fontId="3" fillId="4" borderId="0" xfId="0" applyFont="1" applyFill="1" applyBorder="1" applyAlignment="1">
      <alignment vertical="top" wrapText="1"/>
    </xf>
    <xf numFmtId="0" fontId="3" fillId="4" borderId="12" xfId="0" applyFont="1" applyFill="1" applyBorder="1" applyAlignment="1">
      <alignment vertical="top" wrapText="1"/>
    </xf>
    <xf numFmtId="0" fontId="1" fillId="4" borderId="4" xfId="0" applyFont="1" applyFill="1" applyBorder="1" applyAlignment="1">
      <alignment horizontal="left" wrapText="1"/>
    </xf>
    <xf numFmtId="0" fontId="1" fillId="4" borderId="0" xfId="0" applyFont="1" applyFill="1" applyBorder="1" applyAlignment="1">
      <alignment horizontal="left" wrapText="1"/>
    </xf>
    <xf numFmtId="0" fontId="1" fillId="4" borderId="12" xfId="0" applyFont="1" applyFill="1" applyBorder="1" applyAlignment="1">
      <alignment horizontal="left" wrapText="1"/>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0" fontId="28" fillId="0" borderId="3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7" fillId="18" borderId="6" xfId="0" applyFont="1" applyFill="1" applyBorder="1" applyAlignment="1">
      <alignment horizontal="center"/>
    </xf>
    <xf numFmtId="0" fontId="7" fillId="18" borderId="7" xfId="0" applyFont="1" applyFill="1" applyBorder="1" applyAlignment="1">
      <alignment horizontal="center"/>
    </xf>
    <xf numFmtId="0" fontId="7" fillId="18" borderId="19" xfId="0" applyFont="1" applyFill="1" applyBorder="1" applyAlignment="1">
      <alignment horizontal="center"/>
    </xf>
    <xf numFmtId="0" fontId="1" fillId="5" borderId="4" xfId="0" applyFont="1" applyFill="1" applyBorder="1" applyAlignment="1">
      <alignment horizontal="left" vertical="top" wrapText="1"/>
    </xf>
    <xf numFmtId="0" fontId="0" fillId="5" borderId="0" xfId="0" applyFill="1" applyBorder="1" applyAlignment="1">
      <alignment horizontal="left" vertical="top" wrapText="1"/>
    </xf>
    <xf numFmtId="0" fontId="0" fillId="5" borderId="12" xfId="0" applyFill="1" applyBorder="1" applyAlignment="1">
      <alignment horizontal="left" vertical="top" wrapText="1"/>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0" fillId="5" borderId="8" xfId="0" applyFill="1" applyBorder="1" applyAlignment="1">
      <alignment horizontal="left" vertical="top" wrapText="1"/>
    </xf>
    <xf numFmtId="0" fontId="0" fillId="5" borderId="13" xfId="0" applyFill="1" applyBorder="1" applyAlignment="1">
      <alignment horizontal="left" vertical="top" wrapText="1"/>
    </xf>
    <xf numFmtId="0" fontId="7" fillId="6" borderId="42" xfId="0" applyFont="1" applyFill="1" applyBorder="1" applyAlignment="1">
      <alignment horizontal="center"/>
    </xf>
    <xf numFmtId="0" fontId="7" fillId="6" borderId="43" xfId="0" applyFont="1" applyFill="1" applyBorder="1" applyAlignment="1">
      <alignment horizontal="center"/>
    </xf>
    <xf numFmtId="0" fontId="7" fillId="6" borderId="44" xfId="0" applyFont="1" applyFill="1" applyBorder="1" applyAlignment="1">
      <alignment horizontal="center"/>
    </xf>
    <xf numFmtId="0" fontId="0" fillId="4" borderId="31" xfId="0" applyFill="1" applyBorder="1" applyAlignment="1">
      <alignment horizontal="left" wrapText="1"/>
    </xf>
    <xf numFmtId="0" fontId="0" fillId="4" borderId="0" xfId="0" applyFill="1" applyBorder="1" applyAlignment="1">
      <alignment horizontal="left" wrapText="1"/>
    </xf>
    <xf numFmtId="0" fontId="0" fillId="4" borderId="32" xfId="0" applyFill="1" applyBorder="1" applyAlignment="1">
      <alignment horizontal="left" wrapText="1"/>
    </xf>
    <xf numFmtId="0" fontId="5" fillId="4" borderId="45" xfId="0" applyFont="1" applyFill="1" applyBorder="1" applyAlignment="1">
      <alignment horizontal="left" wrapText="1"/>
    </xf>
    <xf numFmtId="0" fontId="0" fillId="4" borderId="7" xfId="0" applyFill="1" applyBorder="1" applyAlignment="1">
      <alignment horizontal="left" wrapText="1"/>
    </xf>
    <xf numFmtId="0" fontId="0" fillId="4" borderId="46" xfId="0" applyFill="1" applyBorder="1" applyAlignment="1">
      <alignment horizontal="left" wrapText="1"/>
    </xf>
    <xf numFmtId="0" fontId="0" fillId="5" borderId="31" xfId="0" applyFill="1" applyBorder="1" applyAlignment="1">
      <alignment horizontal="left" vertical="top" wrapText="1"/>
    </xf>
    <xf numFmtId="0" fontId="0" fillId="5" borderId="32"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40" xfId="0" applyFill="1" applyBorder="1" applyAlignment="1">
      <alignment horizontal="left" vertical="top" wrapText="1"/>
    </xf>
    <xf numFmtId="0" fontId="7" fillId="18" borderId="33" xfId="0" applyFont="1" applyFill="1" applyBorder="1" applyAlignment="1">
      <alignment horizontal="center"/>
    </xf>
    <xf numFmtId="0" fontId="7" fillId="18" borderId="34" xfId="0" applyFont="1" applyFill="1" applyBorder="1" applyAlignment="1">
      <alignment horizontal="center"/>
    </xf>
    <xf numFmtId="0" fontId="7" fillId="18" borderId="35" xfId="0" applyFont="1" applyFill="1" applyBorder="1" applyAlignment="1">
      <alignment horizontal="center"/>
    </xf>
    <xf numFmtId="0" fontId="5" fillId="5" borderId="31" xfId="0" applyFont="1" applyFill="1" applyBorder="1" applyAlignment="1">
      <alignment horizontal="left" vertical="top" wrapText="1"/>
    </xf>
    <xf numFmtId="0" fontId="7" fillId="6" borderId="33" xfId="0" applyFont="1"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8" xfId="0" applyFont="1" applyFill="1" applyBorder="1" applyAlignment="1">
      <alignment horizontal="center"/>
    </xf>
    <xf numFmtId="0" fontId="7" fillId="6" borderId="39" xfId="0" applyFont="1" applyFill="1" applyBorder="1" applyAlignment="1">
      <alignment horizontal="center"/>
    </xf>
    <xf numFmtId="0" fontId="7" fillId="6" borderId="40" xfId="0" applyFont="1" applyFill="1" applyBorder="1" applyAlignment="1">
      <alignment horizontal="center"/>
    </xf>
    <xf numFmtId="0" fontId="24" fillId="10" borderId="53" xfId="0" applyFont="1" applyFill="1" applyBorder="1" applyAlignment="1">
      <alignment horizontal="center"/>
    </xf>
  </cellXfs>
  <cellStyles count="10">
    <cellStyle name="Comma" xfId="1" builtinId="3"/>
    <cellStyle name="EYCheck" xfId="2"/>
    <cellStyle name="EYDate" xfId="3"/>
    <cellStyle name="EYHeader1" xfId="4"/>
    <cellStyle name="EYHeader1 2" xfId="8"/>
    <cellStyle name="EYHeader1 3" xfId="9"/>
    <cellStyle name="EYInputValue" xfId="5"/>
    <cellStyle name="EYPercent" xfId="6"/>
    <cellStyle name="Normal" xfId="0" builtinId="0"/>
    <cellStyle name="Percent" xfId="7" builtinId="5"/>
  </cellStyles>
  <dxfs count="51">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chart>
    <c:title>
      <c:tx>
        <c:rich>
          <a:bodyPr/>
          <a:lstStyle/>
          <a:p>
            <a:pPr>
              <a:defRPr sz="200" b="1" i="0" u="none" strike="noStrike" baseline="0">
                <a:solidFill>
                  <a:srgbClr val="000000"/>
                </a:solidFill>
                <a:latin typeface="Arial"/>
                <a:ea typeface="Arial"/>
                <a:cs typeface="Arial"/>
              </a:defRPr>
            </a:pPr>
            <a:r>
              <a:rPr lang="en-US"/>
              <a:t>PCT Surplus / (Deficit)</a:t>
            </a:r>
          </a:p>
        </c:rich>
      </c:tx>
      <c:spPr>
        <a:noFill/>
        <a:ln w="25400">
          <a:noFill/>
        </a:ln>
      </c:spPr>
    </c:title>
    <c:plotArea>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ser>
        <c:marker val="1"/>
        <c:axId val="50157056"/>
        <c:axId val="50158976"/>
      </c:lineChart>
      <c:catAx>
        <c:axId val="50157056"/>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0158976"/>
        <c:crosses val="autoZero"/>
        <c:auto val="1"/>
        <c:lblAlgn val="ctr"/>
        <c:lblOffset val="100"/>
        <c:tickLblSkip val="1"/>
        <c:tickMarkSkip val="1"/>
      </c:catAx>
      <c:valAx>
        <c:axId val="50158976"/>
        <c:scaling>
          <c:orientation val="minMax"/>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£'000</a:t>
                </a:r>
              </a:p>
            </c:rich>
          </c:tx>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0157056"/>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Ealing Non Acute Variance (£'000)</a:t>
            </a:r>
          </a:p>
        </c:rich>
      </c:tx>
      <c:layout>
        <c:manualLayout>
          <c:xMode val="edge"/>
          <c:yMode val="edge"/>
          <c:x val="0.29166748687664057"/>
          <c:y val="3.7800687285223393E-2"/>
        </c:manualLayout>
      </c:layout>
      <c:spPr>
        <a:noFill/>
        <a:ln w="25400">
          <a:noFill/>
        </a:ln>
      </c:spPr>
    </c:title>
    <c:plotArea>
      <c:layout>
        <c:manualLayout>
          <c:layoutTarget val="inner"/>
          <c:xMode val="edge"/>
          <c:yMode val="edge"/>
          <c:x val="0.15364622407588724"/>
          <c:y val="0.19587694600027519"/>
          <c:w val="0.65625166893429832"/>
          <c:h val="0.72165190631680398"/>
        </c:manualLayout>
      </c:layout>
      <c:barChart>
        <c:barDir val="col"/>
        <c:grouping val="clustered"/>
        <c:ser>
          <c:idx val="0"/>
          <c:order val="0"/>
          <c:tx>
            <c:strRef>
              <c:f>'Data lookup'!$B$7</c:f>
              <c:strCache>
                <c:ptCount val="1"/>
                <c:pt idx="0">
                  <c:v>Learning Disabilities</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lookup'!$B$8</c:f>
              <c:numCache>
                <c:formatCode>#,##0</c:formatCode>
                <c:ptCount val="1"/>
                <c:pt idx="0">
                  <c:v>-245</c:v>
                </c:pt>
              </c:numCache>
            </c:numRef>
          </c:val>
        </c:ser>
        <c:ser>
          <c:idx val="7"/>
          <c:order val="1"/>
          <c:tx>
            <c:strRef>
              <c:f>'Data lookup'!$C$7</c:f>
              <c:strCache>
                <c:ptCount val="1"/>
                <c:pt idx="0">
                  <c:v>Older People</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lookup'!$C$8</c:f>
              <c:numCache>
                <c:formatCode>#,##0</c:formatCode>
                <c:ptCount val="1"/>
                <c:pt idx="0">
                  <c:v>-163</c:v>
                </c:pt>
              </c:numCache>
            </c:numRef>
          </c:val>
        </c:ser>
        <c:ser>
          <c:idx val="6"/>
          <c:order val="2"/>
          <c:tx>
            <c:strRef>
              <c:f>'Data lookup'!$D$7</c:f>
              <c:strCache>
                <c:ptCount val="1"/>
                <c:pt idx="0">
                  <c:v>Mental Health</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lookup'!$D$8</c:f>
              <c:numCache>
                <c:formatCode>#,##0</c:formatCode>
                <c:ptCount val="1"/>
                <c:pt idx="0">
                  <c:v>-161</c:v>
                </c:pt>
              </c:numCache>
            </c:numRef>
          </c:val>
        </c:ser>
        <c:ser>
          <c:idx val="1"/>
          <c:order val="3"/>
          <c:tx>
            <c:strRef>
              <c:f>'Data lookup'!$E$7</c:f>
              <c:strCache>
                <c:ptCount val="1"/>
                <c:pt idx="0">
                  <c:v>Other</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lookup'!$E$8</c:f>
              <c:numCache>
                <c:formatCode>#,##0</c:formatCode>
                <c:ptCount val="1"/>
                <c:pt idx="0">
                  <c:v>-261</c:v>
                </c:pt>
              </c:numCache>
            </c:numRef>
          </c:val>
        </c:ser>
        <c:ser>
          <c:idx val="2"/>
          <c:order val="4"/>
          <c:tx>
            <c:strRef>
              <c:f>'Data lookup'!$F$7</c:f>
              <c:strCache>
                <c:ptCount val="1"/>
                <c:pt idx="0">
                  <c:v>Total</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lookup'!$F$8</c:f>
              <c:numCache>
                <c:formatCode>#,##0</c:formatCode>
                <c:ptCount val="1"/>
                <c:pt idx="0">
                  <c:v>-830</c:v>
                </c:pt>
              </c:numCache>
            </c:numRef>
          </c:val>
        </c:ser>
        <c:axId val="52318592"/>
        <c:axId val="52320128"/>
      </c:barChart>
      <c:catAx>
        <c:axId val="52318592"/>
        <c:scaling>
          <c:orientation val="minMax"/>
        </c:scaling>
        <c:axPos val="b"/>
        <c:tickLblPos val="none"/>
        <c:spPr>
          <a:ln w="9525">
            <a:noFill/>
          </a:ln>
        </c:spPr>
        <c:crossAx val="52320128"/>
        <c:crosses val="autoZero"/>
        <c:auto val="1"/>
        <c:lblAlgn val="ctr"/>
        <c:lblOffset val="100"/>
        <c:tickMarkSkip val="1"/>
      </c:catAx>
      <c:valAx>
        <c:axId val="52320128"/>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318592"/>
        <c:crosses val="autoZero"/>
        <c:crossBetween val="between"/>
      </c:valAx>
      <c:spPr>
        <a:solidFill>
          <a:srgbClr val="FFFFFF"/>
        </a:solidFill>
        <a:ln w="3175">
          <a:solidFill>
            <a:srgbClr val="000000"/>
          </a:solidFill>
          <a:prstDash val="solid"/>
        </a:ln>
      </c:spPr>
    </c:plotArea>
    <c:legend>
      <c:legendPos val="r"/>
      <c:layout>
        <c:manualLayout>
          <c:xMode val="edge"/>
          <c:yMode val="edge"/>
          <c:x val="0.83854385389326358"/>
          <c:y val="0.36082582460697582"/>
          <c:w val="0.14062527340332454"/>
          <c:h val="0.3951904465550054"/>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Hillingdon Non Acute Variance (£'000)</a:t>
            </a:r>
          </a:p>
        </c:rich>
      </c:tx>
      <c:layout>
        <c:manualLayout>
          <c:xMode val="edge"/>
          <c:yMode val="edge"/>
          <c:x val="0.264935337628251"/>
          <c:y val="3.7671232876712361E-2"/>
        </c:manualLayout>
      </c:layout>
      <c:spPr>
        <a:noFill/>
        <a:ln w="25400">
          <a:noFill/>
        </a:ln>
      </c:spPr>
    </c:title>
    <c:plotArea>
      <c:layout>
        <c:manualLayout>
          <c:layoutTarget val="inner"/>
          <c:xMode val="edge"/>
          <c:yMode val="edge"/>
          <c:x val="0.15324694760418484"/>
          <c:y val="0.19520580587443473"/>
          <c:w val="0.657143690573878"/>
          <c:h val="0.72260394806150363"/>
        </c:manualLayout>
      </c:layout>
      <c:barChart>
        <c:barDir val="col"/>
        <c:grouping val="clustered"/>
        <c:ser>
          <c:idx val="0"/>
          <c:order val="0"/>
          <c:tx>
            <c:strRef>
              <c:f>'Data lookup'!$B$23</c:f>
              <c:strCache>
                <c:ptCount val="1"/>
                <c:pt idx="0">
                  <c:v>Mental Health</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lookup'!$B$24</c:f>
              <c:numCache>
                <c:formatCode>#,##0</c:formatCode>
                <c:ptCount val="1"/>
                <c:pt idx="0">
                  <c:v>-674</c:v>
                </c:pt>
              </c:numCache>
            </c:numRef>
          </c:val>
        </c:ser>
        <c:ser>
          <c:idx val="7"/>
          <c:order val="1"/>
          <c:tx>
            <c:strRef>
              <c:f>'Data lookup'!$C$23</c:f>
              <c:strCache>
                <c:ptCount val="1"/>
                <c:pt idx="0">
                  <c:v>Childrens Services</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lookup'!$C$24</c:f>
              <c:numCache>
                <c:formatCode>#,##0</c:formatCode>
                <c:ptCount val="1"/>
                <c:pt idx="0">
                  <c:v>-674</c:v>
                </c:pt>
              </c:numCache>
            </c:numRef>
          </c:val>
        </c:ser>
        <c:ser>
          <c:idx val="6"/>
          <c:order val="2"/>
          <c:tx>
            <c:strRef>
              <c:f>'Data lookup'!$D$23</c:f>
              <c:strCache>
                <c:ptCount val="1"/>
                <c:pt idx="0">
                  <c:v>Community Services</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lookup'!$D$24</c:f>
              <c:numCache>
                <c:formatCode>#,##0</c:formatCode>
                <c:ptCount val="1"/>
                <c:pt idx="0">
                  <c:v>-674</c:v>
                </c:pt>
              </c:numCache>
            </c:numRef>
          </c:val>
        </c:ser>
        <c:ser>
          <c:idx val="1"/>
          <c:order val="3"/>
          <c:tx>
            <c:strRef>
              <c:f>'Data lookup'!$E$23</c:f>
              <c:strCache>
                <c:ptCount val="1"/>
                <c:pt idx="0">
                  <c:v>Other</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lookup'!$E$24</c:f>
              <c:numCache>
                <c:formatCode>#,##0</c:formatCode>
                <c:ptCount val="1"/>
                <c:pt idx="0">
                  <c:v>1554</c:v>
                </c:pt>
              </c:numCache>
            </c:numRef>
          </c:val>
        </c:ser>
        <c:ser>
          <c:idx val="2"/>
          <c:order val="4"/>
          <c:tx>
            <c:strRef>
              <c:f>'Data lookup'!$F$23</c:f>
              <c:strCache>
                <c:ptCount val="1"/>
                <c:pt idx="0">
                  <c:v>Total</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lookup'!$F$24</c:f>
              <c:numCache>
                <c:formatCode>#,##0</c:formatCode>
                <c:ptCount val="1"/>
                <c:pt idx="0">
                  <c:v>-468</c:v>
                </c:pt>
              </c:numCache>
            </c:numRef>
          </c:val>
        </c:ser>
        <c:axId val="53418624"/>
        <c:axId val="53457280"/>
      </c:barChart>
      <c:catAx>
        <c:axId val="53418624"/>
        <c:scaling>
          <c:orientation val="minMax"/>
        </c:scaling>
        <c:axPos val="b"/>
        <c:tickLblPos val="none"/>
        <c:spPr>
          <a:ln w="9525">
            <a:noFill/>
          </a:ln>
        </c:spPr>
        <c:crossAx val="53457280"/>
        <c:crosses val="autoZero"/>
        <c:auto val="1"/>
        <c:lblAlgn val="ctr"/>
        <c:lblOffset val="100"/>
        <c:tickMarkSkip val="1"/>
      </c:catAx>
      <c:valAx>
        <c:axId val="53457280"/>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418624"/>
        <c:crosses val="autoZero"/>
        <c:crossBetween val="between"/>
      </c:valAx>
      <c:spPr>
        <a:solidFill>
          <a:srgbClr val="FFFFFF"/>
        </a:solidFill>
        <a:ln w="3175">
          <a:solidFill>
            <a:srgbClr val="000000"/>
          </a:solidFill>
          <a:prstDash val="solid"/>
        </a:ln>
      </c:spPr>
    </c:plotArea>
    <c:legend>
      <c:legendPos val="r"/>
      <c:layout>
        <c:manualLayout>
          <c:xMode val="edge"/>
          <c:yMode val="edge"/>
          <c:x val="0.83896212973378326"/>
          <c:y val="0.35958976018408678"/>
          <c:w val="0.14026001295292642"/>
          <c:h val="0.39383633552655245"/>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Hounslow Non  Acute Variance (£'000)</a:t>
            </a:r>
          </a:p>
        </c:rich>
      </c:tx>
      <c:layout>
        <c:manualLayout>
          <c:xMode val="edge"/>
          <c:yMode val="edge"/>
          <c:x val="0.26424870466321243"/>
          <c:y val="3.7542662116040973E-2"/>
        </c:manualLayout>
      </c:layout>
      <c:spPr>
        <a:noFill/>
        <a:ln w="25400">
          <a:noFill/>
        </a:ln>
      </c:spPr>
    </c:title>
    <c:plotArea>
      <c:layout>
        <c:manualLayout>
          <c:layoutTarget val="inner"/>
          <c:xMode val="edge"/>
          <c:yMode val="edge"/>
          <c:x val="0.15284974093264256"/>
          <c:y val="0.19453924914675771"/>
          <c:w val="0.65803108808290167"/>
          <c:h val="0.72354948805460761"/>
        </c:manualLayout>
      </c:layout>
      <c:barChart>
        <c:barDir val="col"/>
        <c:grouping val="clustered"/>
        <c:ser>
          <c:idx val="0"/>
          <c:order val="0"/>
          <c:tx>
            <c:strRef>
              <c:f>'Data lookup'!$B$39</c:f>
              <c:strCache>
                <c:ptCount val="1"/>
                <c:pt idx="0">
                  <c:v>Childrens Services</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lookup'!$B$40</c:f>
              <c:numCache>
                <c:formatCode>#,##0</c:formatCode>
                <c:ptCount val="1"/>
                <c:pt idx="0">
                  <c:v>-283</c:v>
                </c:pt>
              </c:numCache>
            </c:numRef>
          </c:val>
        </c:ser>
        <c:ser>
          <c:idx val="7"/>
          <c:order val="1"/>
          <c:tx>
            <c:strRef>
              <c:f>'Data lookup'!$C$39</c:f>
              <c:strCache>
                <c:ptCount val="1"/>
                <c:pt idx="0">
                  <c:v>Mental Health</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lookup'!$C$40</c:f>
              <c:numCache>
                <c:formatCode>#,##0</c:formatCode>
                <c:ptCount val="1"/>
                <c:pt idx="0">
                  <c:v>-133</c:v>
                </c:pt>
              </c:numCache>
            </c:numRef>
          </c:val>
        </c:ser>
        <c:ser>
          <c:idx val="6"/>
          <c:order val="2"/>
          <c:tx>
            <c:strRef>
              <c:f>'Data lookup'!$D$39</c:f>
              <c:strCache>
                <c:ptCount val="1"/>
                <c:pt idx="0">
                  <c:v>Learning Disabilities</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lookup'!$D$40</c:f>
              <c:numCache>
                <c:formatCode>#,##0</c:formatCode>
                <c:ptCount val="1"/>
                <c:pt idx="0">
                  <c:v>-105</c:v>
                </c:pt>
              </c:numCache>
            </c:numRef>
          </c:val>
        </c:ser>
        <c:ser>
          <c:idx val="1"/>
          <c:order val="3"/>
          <c:tx>
            <c:strRef>
              <c:f>'Data lookup'!$E$39</c:f>
              <c:strCache>
                <c:ptCount val="1"/>
                <c:pt idx="0">
                  <c:v>Other</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lookup'!$E$40</c:f>
              <c:numCache>
                <c:formatCode>#,##0</c:formatCode>
                <c:ptCount val="1"/>
                <c:pt idx="0">
                  <c:v>253</c:v>
                </c:pt>
              </c:numCache>
            </c:numRef>
          </c:val>
        </c:ser>
        <c:ser>
          <c:idx val="2"/>
          <c:order val="4"/>
          <c:tx>
            <c:strRef>
              <c:f>'Data lookup'!$F$39</c:f>
              <c:strCache>
                <c:ptCount val="1"/>
                <c:pt idx="0">
                  <c:v>Total</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lookup'!$F$40</c:f>
              <c:numCache>
                <c:formatCode>#,##0</c:formatCode>
                <c:ptCount val="1"/>
                <c:pt idx="0">
                  <c:v>-268</c:v>
                </c:pt>
              </c:numCache>
            </c:numRef>
          </c:val>
        </c:ser>
        <c:axId val="53572736"/>
        <c:axId val="53574272"/>
      </c:barChart>
      <c:catAx>
        <c:axId val="53572736"/>
        <c:scaling>
          <c:orientation val="minMax"/>
        </c:scaling>
        <c:axPos val="b"/>
        <c:tickLblPos val="none"/>
        <c:spPr>
          <a:ln w="9525">
            <a:noFill/>
          </a:ln>
        </c:spPr>
        <c:crossAx val="53574272"/>
        <c:crosses val="autoZero"/>
        <c:auto val="1"/>
        <c:lblAlgn val="ctr"/>
        <c:lblOffset val="100"/>
        <c:tickMarkSkip val="1"/>
      </c:catAx>
      <c:valAx>
        <c:axId val="5357427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572736"/>
        <c:crosses val="autoZero"/>
        <c:crossBetween val="between"/>
      </c:valAx>
      <c:spPr>
        <a:solidFill>
          <a:srgbClr val="FFFFFF"/>
        </a:solidFill>
        <a:ln w="3175">
          <a:solidFill>
            <a:srgbClr val="000000"/>
          </a:solidFill>
          <a:prstDash val="solid"/>
        </a:ln>
      </c:spPr>
    </c:plotArea>
    <c:legend>
      <c:legendPos val="r"/>
      <c:layout>
        <c:manualLayout>
          <c:xMode val="edge"/>
          <c:yMode val="edge"/>
          <c:x val="0.8393782383419689"/>
          <c:y val="0.36177474402730381"/>
          <c:w val="0.13989637305699495"/>
          <c:h val="0.3924914675767918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Ealing Primary Care Variance (£'000)</a:t>
            </a:r>
          </a:p>
        </c:rich>
      </c:tx>
      <c:layout>
        <c:manualLayout>
          <c:xMode val="edge"/>
          <c:yMode val="edge"/>
          <c:x val="0.29166748687664057"/>
          <c:y val="3.7800687285223393E-2"/>
        </c:manualLayout>
      </c:layout>
      <c:spPr>
        <a:noFill/>
        <a:ln w="25400">
          <a:noFill/>
        </a:ln>
      </c:spPr>
    </c:title>
    <c:plotArea>
      <c:layout>
        <c:manualLayout>
          <c:layoutTarget val="inner"/>
          <c:xMode val="edge"/>
          <c:yMode val="edge"/>
          <c:x val="0.15364622407588724"/>
          <c:y val="0.19587694600027519"/>
          <c:w val="0.65625166893429832"/>
          <c:h val="0.72165190631680398"/>
        </c:manualLayout>
      </c:layout>
      <c:barChart>
        <c:barDir val="col"/>
        <c:grouping val="clustered"/>
        <c:ser>
          <c:idx val="0"/>
          <c:order val="0"/>
          <c:tx>
            <c:strRef>
              <c:f>'Data lookup'!$B$11</c:f>
              <c:strCache>
                <c:ptCount val="1"/>
                <c:pt idx="0">
                  <c:v>Dental</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lookup'!$B$12</c:f>
              <c:numCache>
                <c:formatCode>#,##0</c:formatCode>
                <c:ptCount val="1"/>
                <c:pt idx="0">
                  <c:v>527</c:v>
                </c:pt>
              </c:numCache>
            </c:numRef>
          </c:val>
        </c:ser>
        <c:ser>
          <c:idx val="7"/>
          <c:order val="1"/>
          <c:tx>
            <c:strRef>
              <c:f>'Data lookup'!$C$11</c:f>
              <c:strCache>
                <c:ptCount val="1"/>
                <c:pt idx="0">
                  <c:v>Medical</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lookup'!$C$12</c:f>
              <c:numCache>
                <c:formatCode>#,##0</c:formatCode>
                <c:ptCount val="1"/>
                <c:pt idx="0">
                  <c:v>23</c:v>
                </c:pt>
              </c:numCache>
            </c:numRef>
          </c:val>
        </c:ser>
        <c:ser>
          <c:idx val="6"/>
          <c:order val="2"/>
          <c:tx>
            <c:strRef>
              <c:f>'Data lookup'!$D$11</c:f>
              <c:strCache>
                <c:ptCount val="1"/>
                <c:pt idx="0">
                  <c:v>Ophthalmic</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lookup'!$D$12</c:f>
              <c:numCache>
                <c:formatCode>#,##0</c:formatCode>
                <c:ptCount val="1"/>
                <c:pt idx="0">
                  <c:v>83</c:v>
                </c:pt>
              </c:numCache>
            </c:numRef>
          </c:val>
        </c:ser>
        <c:ser>
          <c:idx val="1"/>
          <c:order val="3"/>
          <c:tx>
            <c:strRef>
              <c:f>'Data lookup'!$E$11</c:f>
              <c:strCache>
                <c:ptCount val="1"/>
                <c:pt idx="0">
                  <c:v>Pathology</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lookup'!$E$12</c:f>
              <c:numCache>
                <c:formatCode>#,##0</c:formatCode>
                <c:ptCount val="1"/>
                <c:pt idx="0">
                  <c:v>49</c:v>
                </c:pt>
              </c:numCache>
            </c:numRef>
          </c:val>
        </c:ser>
        <c:ser>
          <c:idx val="2"/>
          <c:order val="4"/>
          <c:tx>
            <c:strRef>
              <c:f>'Data lookup'!$F$11</c:f>
              <c:strCache>
                <c:ptCount val="1"/>
                <c:pt idx="0">
                  <c:v>Prescribing</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lookup'!$F$12</c:f>
              <c:numCache>
                <c:formatCode>#,##0</c:formatCode>
                <c:ptCount val="1"/>
                <c:pt idx="0">
                  <c:v>309</c:v>
                </c:pt>
              </c:numCache>
            </c:numRef>
          </c:val>
        </c:ser>
        <c:ser>
          <c:idx val="3"/>
          <c:order val="5"/>
          <c:tx>
            <c:strRef>
              <c:f>'Data lookup'!$G$11</c:f>
              <c:strCache>
                <c:ptCount val="1"/>
                <c:pt idx="0">
                  <c:v>Total</c:v>
                </c:pt>
              </c:strCache>
            </c:strRef>
          </c:tx>
          <c:val>
            <c:numRef>
              <c:f>'Data lookup'!$G$12</c:f>
              <c:numCache>
                <c:formatCode>#,##0</c:formatCode>
                <c:ptCount val="1"/>
                <c:pt idx="0">
                  <c:v>991</c:v>
                </c:pt>
              </c:numCache>
            </c:numRef>
          </c:val>
        </c:ser>
        <c:axId val="53621888"/>
        <c:axId val="53623424"/>
      </c:barChart>
      <c:catAx>
        <c:axId val="53621888"/>
        <c:scaling>
          <c:orientation val="minMax"/>
        </c:scaling>
        <c:axPos val="b"/>
        <c:tickLblPos val="none"/>
        <c:spPr>
          <a:ln w="9525">
            <a:noFill/>
          </a:ln>
        </c:spPr>
        <c:crossAx val="53623424"/>
        <c:crosses val="autoZero"/>
        <c:auto val="1"/>
        <c:lblAlgn val="ctr"/>
        <c:lblOffset val="100"/>
        <c:tickMarkSkip val="1"/>
      </c:catAx>
      <c:valAx>
        <c:axId val="53623424"/>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21888"/>
        <c:crosses val="autoZero"/>
        <c:crossBetween val="between"/>
      </c:valAx>
      <c:spPr>
        <a:solidFill>
          <a:srgbClr val="FFFFFF"/>
        </a:solidFill>
        <a:ln w="3175">
          <a:solidFill>
            <a:srgbClr val="000000"/>
          </a:solidFill>
          <a:prstDash val="solid"/>
        </a:ln>
      </c:spPr>
    </c:plotArea>
    <c:legend>
      <c:legendPos val="r"/>
      <c:layout>
        <c:manualLayout>
          <c:xMode val="edge"/>
          <c:yMode val="edge"/>
          <c:x val="0.83854385389326358"/>
          <c:y val="0.36082582460697582"/>
          <c:w val="0.16145614610673675"/>
          <c:h val="0.37015991557756334"/>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Hillingdon Primary</a:t>
            </a:r>
            <a:r>
              <a:rPr lang="en-US" baseline="0"/>
              <a:t> Care </a:t>
            </a:r>
            <a:r>
              <a:rPr lang="en-US"/>
              <a:t>Variance (£'000)</a:t>
            </a:r>
          </a:p>
        </c:rich>
      </c:tx>
      <c:layout>
        <c:manualLayout>
          <c:xMode val="edge"/>
          <c:yMode val="edge"/>
          <c:x val="0.264935337628251"/>
          <c:y val="3.7671232876712361E-2"/>
        </c:manualLayout>
      </c:layout>
      <c:spPr>
        <a:noFill/>
        <a:ln w="25400">
          <a:noFill/>
        </a:ln>
      </c:spPr>
    </c:title>
    <c:plotArea>
      <c:layout>
        <c:manualLayout>
          <c:layoutTarget val="inner"/>
          <c:xMode val="edge"/>
          <c:yMode val="edge"/>
          <c:x val="0.15324694760418484"/>
          <c:y val="0.19520580587443473"/>
          <c:w val="0.657143690573878"/>
          <c:h val="0.72260394806150363"/>
        </c:manualLayout>
      </c:layout>
      <c:barChart>
        <c:barDir val="col"/>
        <c:grouping val="clustered"/>
        <c:ser>
          <c:idx val="0"/>
          <c:order val="0"/>
          <c:tx>
            <c:strRef>
              <c:f>'Data lookup'!$B$27</c:f>
              <c:strCache>
                <c:ptCount val="1"/>
                <c:pt idx="0">
                  <c:v>Dental</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lookup'!$B$28</c:f>
              <c:numCache>
                <c:formatCode>#,##0</c:formatCode>
                <c:ptCount val="1"/>
                <c:pt idx="0">
                  <c:v>189</c:v>
                </c:pt>
              </c:numCache>
            </c:numRef>
          </c:val>
        </c:ser>
        <c:ser>
          <c:idx val="7"/>
          <c:order val="1"/>
          <c:tx>
            <c:strRef>
              <c:f>'Data lookup'!$C$27</c:f>
              <c:strCache>
                <c:ptCount val="1"/>
                <c:pt idx="0">
                  <c:v>Medical</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lookup'!$C$28</c:f>
              <c:numCache>
                <c:formatCode>#,##0</c:formatCode>
                <c:ptCount val="1"/>
                <c:pt idx="0">
                  <c:v>248</c:v>
                </c:pt>
              </c:numCache>
            </c:numRef>
          </c:val>
        </c:ser>
        <c:ser>
          <c:idx val="6"/>
          <c:order val="2"/>
          <c:tx>
            <c:strRef>
              <c:f>'Data lookup'!$D$27</c:f>
              <c:strCache>
                <c:ptCount val="1"/>
                <c:pt idx="0">
                  <c:v>Ophthalmic</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lookup'!$D$28</c:f>
              <c:numCache>
                <c:formatCode>#,##0</c:formatCode>
                <c:ptCount val="1"/>
                <c:pt idx="0">
                  <c:v>4</c:v>
                </c:pt>
              </c:numCache>
            </c:numRef>
          </c:val>
        </c:ser>
        <c:ser>
          <c:idx val="1"/>
          <c:order val="3"/>
          <c:tx>
            <c:strRef>
              <c:f>'Data lookup'!$E$27</c:f>
              <c:strCache>
                <c:ptCount val="1"/>
                <c:pt idx="0">
                  <c:v>Prescribing</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lookup'!$E$28</c:f>
              <c:numCache>
                <c:formatCode>#,##0</c:formatCode>
                <c:ptCount val="1"/>
                <c:pt idx="0">
                  <c:v>129</c:v>
                </c:pt>
              </c:numCache>
            </c:numRef>
          </c:val>
        </c:ser>
        <c:ser>
          <c:idx val="2"/>
          <c:order val="4"/>
          <c:tx>
            <c:strRef>
              <c:f>'Data lookup'!$F$27</c:f>
              <c:strCache>
                <c:ptCount val="1"/>
                <c:pt idx="0">
                  <c:v>Total</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lookup'!$F$28</c:f>
              <c:numCache>
                <c:formatCode>#,##0</c:formatCode>
                <c:ptCount val="1"/>
                <c:pt idx="0">
                  <c:v>570</c:v>
                </c:pt>
              </c:numCache>
            </c:numRef>
          </c:val>
        </c:ser>
        <c:axId val="53694464"/>
        <c:axId val="53696000"/>
      </c:barChart>
      <c:catAx>
        <c:axId val="53694464"/>
        <c:scaling>
          <c:orientation val="minMax"/>
        </c:scaling>
        <c:axPos val="b"/>
        <c:tickLblPos val="none"/>
        <c:spPr>
          <a:ln w="9525">
            <a:noFill/>
          </a:ln>
        </c:spPr>
        <c:crossAx val="53696000"/>
        <c:crosses val="autoZero"/>
        <c:auto val="1"/>
        <c:lblAlgn val="ctr"/>
        <c:lblOffset val="100"/>
        <c:tickMarkSkip val="1"/>
      </c:catAx>
      <c:valAx>
        <c:axId val="53696000"/>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94464"/>
        <c:crosses val="autoZero"/>
        <c:crossBetween val="between"/>
      </c:valAx>
      <c:spPr>
        <a:solidFill>
          <a:srgbClr val="FFFFFF"/>
        </a:solidFill>
        <a:ln w="3175">
          <a:solidFill>
            <a:srgbClr val="000000"/>
          </a:solidFill>
          <a:prstDash val="solid"/>
        </a:ln>
      </c:spPr>
    </c:plotArea>
    <c:legend>
      <c:legendPos val="r"/>
      <c:layout>
        <c:manualLayout>
          <c:xMode val="edge"/>
          <c:yMode val="edge"/>
          <c:x val="0.83896212973378326"/>
          <c:y val="0.35958976018408678"/>
          <c:w val="0.14026001295292642"/>
          <c:h val="0.39383633552655245"/>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Hounslow Primary Care Variance (£'000)</a:t>
            </a:r>
          </a:p>
        </c:rich>
      </c:tx>
      <c:layout>
        <c:manualLayout>
          <c:xMode val="edge"/>
          <c:yMode val="edge"/>
          <c:x val="0.26424870466321243"/>
          <c:y val="3.7542662116040973E-2"/>
        </c:manualLayout>
      </c:layout>
      <c:spPr>
        <a:noFill/>
        <a:ln w="25400">
          <a:noFill/>
        </a:ln>
      </c:spPr>
    </c:title>
    <c:plotArea>
      <c:layout>
        <c:manualLayout>
          <c:layoutTarget val="inner"/>
          <c:xMode val="edge"/>
          <c:yMode val="edge"/>
          <c:x val="0.15284974093264256"/>
          <c:y val="0.19453924914675771"/>
          <c:w val="0.65803108808290167"/>
          <c:h val="0.72354948805460761"/>
        </c:manualLayout>
      </c:layout>
      <c:barChart>
        <c:barDir val="col"/>
        <c:grouping val="clustered"/>
        <c:ser>
          <c:idx val="0"/>
          <c:order val="0"/>
          <c:tx>
            <c:strRef>
              <c:f>'Data lookup'!$B$43</c:f>
              <c:strCache>
                <c:ptCount val="1"/>
                <c:pt idx="0">
                  <c:v>Dental</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lookup'!$B$44</c:f>
              <c:numCache>
                <c:formatCode>#,##0</c:formatCode>
                <c:ptCount val="1"/>
                <c:pt idx="0">
                  <c:v>63</c:v>
                </c:pt>
              </c:numCache>
            </c:numRef>
          </c:val>
        </c:ser>
        <c:ser>
          <c:idx val="7"/>
          <c:order val="1"/>
          <c:tx>
            <c:strRef>
              <c:f>'Data lookup'!$C$43</c:f>
              <c:strCache>
                <c:ptCount val="1"/>
                <c:pt idx="0">
                  <c:v>Medical</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lookup'!$C$44</c:f>
              <c:numCache>
                <c:formatCode>#,##0</c:formatCode>
                <c:ptCount val="1"/>
                <c:pt idx="0">
                  <c:v>99</c:v>
                </c:pt>
              </c:numCache>
            </c:numRef>
          </c:val>
        </c:ser>
        <c:ser>
          <c:idx val="6"/>
          <c:order val="2"/>
          <c:tx>
            <c:strRef>
              <c:f>'Data lookup'!$D$43</c:f>
              <c:strCache>
                <c:ptCount val="1"/>
                <c:pt idx="0">
                  <c:v>Ophthalmic</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lookup'!$D$44</c:f>
              <c:numCache>
                <c:formatCode>#,##0</c:formatCode>
                <c:ptCount val="1"/>
                <c:pt idx="0">
                  <c:v>-88</c:v>
                </c:pt>
              </c:numCache>
            </c:numRef>
          </c:val>
        </c:ser>
        <c:ser>
          <c:idx val="1"/>
          <c:order val="3"/>
          <c:tx>
            <c:strRef>
              <c:f>'Data lookup'!$E$43</c:f>
              <c:strCache>
                <c:ptCount val="1"/>
                <c:pt idx="0">
                  <c:v>Pathology</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lookup'!$E$44</c:f>
              <c:numCache>
                <c:formatCode>#,##0</c:formatCode>
                <c:ptCount val="1"/>
                <c:pt idx="0">
                  <c:v>-212</c:v>
                </c:pt>
              </c:numCache>
            </c:numRef>
          </c:val>
        </c:ser>
        <c:ser>
          <c:idx val="2"/>
          <c:order val="4"/>
          <c:tx>
            <c:strRef>
              <c:f>'Data lookup'!$F$43</c:f>
              <c:strCache>
                <c:ptCount val="1"/>
                <c:pt idx="0">
                  <c:v>Prescribing</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lookup'!$F$44</c:f>
              <c:numCache>
                <c:formatCode>#,##0</c:formatCode>
                <c:ptCount val="1"/>
                <c:pt idx="0">
                  <c:v>-359</c:v>
                </c:pt>
              </c:numCache>
            </c:numRef>
          </c:val>
        </c:ser>
        <c:ser>
          <c:idx val="3"/>
          <c:order val="5"/>
          <c:tx>
            <c:strRef>
              <c:f>'Data lookup'!$G$43</c:f>
              <c:strCache>
                <c:ptCount val="1"/>
                <c:pt idx="0">
                  <c:v>Total</c:v>
                </c:pt>
              </c:strCache>
            </c:strRef>
          </c:tx>
          <c:spPr>
            <a:solidFill>
              <a:srgbClr val="CC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lookup'!$G$44</c:f>
              <c:numCache>
                <c:formatCode>#,##0</c:formatCode>
                <c:ptCount val="1"/>
                <c:pt idx="0">
                  <c:v>-497</c:v>
                </c:pt>
              </c:numCache>
            </c:numRef>
          </c:val>
        </c:ser>
        <c:axId val="53845376"/>
        <c:axId val="53863552"/>
      </c:barChart>
      <c:catAx>
        <c:axId val="53845376"/>
        <c:scaling>
          <c:orientation val="minMax"/>
        </c:scaling>
        <c:axPos val="b"/>
        <c:tickLblPos val="none"/>
        <c:spPr>
          <a:ln w="9525">
            <a:noFill/>
          </a:ln>
        </c:spPr>
        <c:crossAx val="53863552"/>
        <c:crosses val="autoZero"/>
        <c:auto val="1"/>
        <c:lblAlgn val="ctr"/>
        <c:lblOffset val="100"/>
        <c:tickMarkSkip val="1"/>
      </c:catAx>
      <c:valAx>
        <c:axId val="5386355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45376"/>
        <c:crosses val="autoZero"/>
        <c:crossBetween val="between"/>
      </c:valAx>
      <c:spPr>
        <a:solidFill>
          <a:srgbClr val="FFFFFF"/>
        </a:solidFill>
        <a:ln w="3175">
          <a:solidFill>
            <a:srgbClr val="000000"/>
          </a:solidFill>
          <a:prstDash val="solid"/>
        </a:ln>
      </c:spPr>
    </c:plotArea>
    <c:legend>
      <c:legendPos val="r"/>
      <c:layout>
        <c:manualLayout>
          <c:xMode val="edge"/>
          <c:yMode val="edge"/>
          <c:x val="0.8393782383419689"/>
          <c:y val="0.36177474402730381"/>
          <c:w val="0.13989637305699495"/>
          <c:h val="0.3924914675767918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Ealing Public Health Variance (£'000)</a:t>
            </a:r>
          </a:p>
        </c:rich>
      </c:tx>
      <c:layout>
        <c:manualLayout>
          <c:xMode val="edge"/>
          <c:yMode val="edge"/>
          <c:x val="0.29166748687664057"/>
          <c:y val="3.7800687285223393E-2"/>
        </c:manualLayout>
      </c:layout>
      <c:spPr>
        <a:noFill/>
        <a:ln w="25400">
          <a:noFill/>
        </a:ln>
      </c:spPr>
    </c:title>
    <c:plotArea>
      <c:layout>
        <c:manualLayout>
          <c:layoutTarget val="inner"/>
          <c:xMode val="edge"/>
          <c:yMode val="edge"/>
          <c:x val="0.15364622407588724"/>
          <c:y val="0.19587694600027519"/>
          <c:w val="0.65625166893429832"/>
          <c:h val="0.72165190631680398"/>
        </c:manualLayout>
      </c:layout>
      <c:barChart>
        <c:barDir val="col"/>
        <c:grouping val="clustered"/>
        <c:ser>
          <c:idx val="0"/>
          <c:order val="0"/>
          <c:tx>
            <c:strRef>
              <c:f>'Data lookup'!$B$16</c:f>
              <c:strCache>
                <c:ptCount val="1"/>
                <c:pt idx="0">
                  <c:v>Admin</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lookup'!$B$17</c:f>
              <c:numCache>
                <c:formatCode>#,##0</c:formatCode>
                <c:ptCount val="1"/>
                <c:pt idx="0">
                  <c:v>3</c:v>
                </c:pt>
              </c:numCache>
            </c:numRef>
          </c:val>
        </c:ser>
        <c:ser>
          <c:idx val="7"/>
          <c:order val="1"/>
          <c:tx>
            <c:strRef>
              <c:f>'Data lookup'!$C$16</c:f>
              <c:strCache>
                <c:ptCount val="1"/>
                <c:pt idx="0">
                  <c:v>Program</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lookup'!$C$17</c:f>
              <c:numCache>
                <c:formatCode>#,##0</c:formatCode>
                <c:ptCount val="1"/>
                <c:pt idx="0">
                  <c:v>2</c:v>
                </c:pt>
              </c:numCache>
            </c:numRef>
          </c:val>
        </c:ser>
        <c:ser>
          <c:idx val="6"/>
          <c:order val="2"/>
          <c:tx>
            <c:strRef>
              <c:f>'Data lookup'!$D$16</c:f>
              <c:strCache>
                <c:ptCount val="1"/>
                <c:pt idx="0">
                  <c:v>Total</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lookup'!$D$17</c:f>
              <c:numCache>
                <c:formatCode>#,##0</c:formatCode>
                <c:ptCount val="1"/>
                <c:pt idx="0">
                  <c:v>5</c:v>
                </c:pt>
              </c:numCache>
            </c:numRef>
          </c:val>
        </c:ser>
        <c:axId val="53792128"/>
        <c:axId val="53802112"/>
      </c:barChart>
      <c:catAx>
        <c:axId val="53792128"/>
        <c:scaling>
          <c:orientation val="minMax"/>
        </c:scaling>
        <c:axPos val="b"/>
        <c:tickLblPos val="none"/>
        <c:spPr>
          <a:ln w="9525">
            <a:noFill/>
          </a:ln>
        </c:spPr>
        <c:crossAx val="53802112"/>
        <c:crosses val="autoZero"/>
        <c:auto val="1"/>
        <c:lblAlgn val="ctr"/>
        <c:lblOffset val="100"/>
        <c:tickMarkSkip val="1"/>
      </c:catAx>
      <c:valAx>
        <c:axId val="5380211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92128"/>
        <c:crosses val="autoZero"/>
        <c:crossBetween val="between"/>
      </c:valAx>
      <c:spPr>
        <a:solidFill>
          <a:srgbClr val="FFFFFF"/>
        </a:solidFill>
        <a:ln w="3175">
          <a:solidFill>
            <a:srgbClr val="000000"/>
          </a:solidFill>
          <a:prstDash val="solid"/>
        </a:ln>
      </c:spPr>
    </c:plotArea>
    <c:legend>
      <c:legendPos val="r"/>
      <c:layout>
        <c:manualLayout>
          <c:xMode val="edge"/>
          <c:yMode val="edge"/>
          <c:x val="0.83854385389326358"/>
          <c:y val="0.36082582460697582"/>
          <c:w val="0.14062527340332454"/>
          <c:h val="0.3951904465550054"/>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Hillingdon </a:t>
            </a:r>
            <a:r>
              <a:rPr lang="en-US" sz="800" b="1" i="0" u="none" strike="noStrike" baseline="0">
                <a:effectLst/>
              </a:rPr>
              <a:t>Public Health </a:t>
            </a:r>
            <a:r>
              <a:rPr lang="en-US"/>
              <a:t>Variance (£'000)</a:t>
            </a:r>
          </a:p>
        </c:rich>
      </c:tx>
      <c:layout>
        <c:manualLayout>
          <c:xMode val="edge"/>
          <c:yMode val="edge"/>
          <c:x val="0.264935337628251"/>
          <c:y val="3.7671232876712361E-2"/>
        </c:manualLayout>
      </c:layout>
      <c:spPr>
        <a:noFill/>
        <a:ln w="25400">
          <a:noFill/>
        </a:ln>
      </c:spPr>
    </c:title>
    <c:plotArea>
      <c:layout>
        <c:manualLayout>
          <c:layoutTarget val="inner"/>
          <c:xMode val="edge"/>
          <c:yMode val="edge"/>
          <c:x val="0.15324694760418484"/>
          <c:y val="0.19520580587443473"/>
          <c:w val="0.657143690573878"/>
          <c:h val="0.72260394806150363"/>
        </c:manualLayout>
      </c:layout>
      <c:barChart>
        <c:barDir val="col"/>
        <c:grouping val="clustered"/>
        <c:ser>
          <c:idx val="0"/>
          <c:order val="0"/>
          <c:tx>
            <c:strRef>
              <c:f>'Data lookup'!$B$32</c:f>
              <c:strCache>
                <c:ptCount val="1"/>
                <c:pt idx="0">
                  <c:v>Admin</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lookup'!$B$33</c:f>
              <c:numCache>
                <c:formatCode>#,##0</c:formatCode>
                <c:ptCount val="1"/>
                <c:pt idx="0">
                  <c:v>59</c:v>
                </c:pt>
              </c:numCache>
            </c:numRef>
          </c:val>
        </c:ser>
        <c:ser>
          <c:idx val="7"/>
          <c:order val="1"/>
          <c:tx>
            <c:strRef>
              <c:f>'Data lookup'!$C$32</c:f>
              <c:strCache>
                <c:ptCount val="1"/>
                <c:pt idx="0">
                  <c:v>Program</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lookup'!$C$33</c:f>
              <c:numCache>
                <c:formatCode>#,##0</c:formatCode>
                <c:ptCount val="1"/>
                <c:pt idx="0">
                  <c:v>14</c:v>
                </c:pt>
              </c:numCache>
            </c:numRef>
          </c:val>
        </c:ser>
        <c:ser>
          <c:idx val="6"/>
          <c:order val="2"/>
          <c:tx>
            <c:strRef>
              <c:f>'Data lookup'!$D$32</c:f>
              <c:strCache>
                <c:ptCount val="1"/>
                <c:pt idx="0">
                  <c:v>Total</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lookup'!$D$33</c:f>
              <c:numCache>
                <c:formatCode>#,##0</c:formatCode>
                <c:ptCount val="1"/>
                <c:pt idx="0">
                  <c:v>73</c:v>
                </c:pt>
              </c:numCache>
            </c:numRef>
          </c:val>
        </c:ser>
        <c:axId val="54959488"/>
        <c:axId val="54969472"/>
      </c:barChart>
      <c:catAx>
        <c:axId val="54959488"/>
        <c:scaling>
          <c:orientation val="minMax"/>
        </c:scaling>
        <c:axPos val="b"/>
        <c:tickLblPos val="none"/>
        <c:spPr>
          <a:ln w="9525">
            <a:noFill/>
          </a:ln>
        </c:spPr>
        <c:crossAx val="54969472"/>
        <c:crosses val="autoZero"/>
        <c:auto val="1"/>
        <c:lblAlgn val="ctr"/>
        <c:lblOffset val="100"/>
        <c:tickMarkSkip val="1"/>
      </c:catAx>
      <c:valAx>
        <c:axId val="5496947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959488"/>
        <c:crosses val="autoZero"/>
        <c:crossBetween val="between"/>
      </c:valAx>
      <c:spPr>
        <a:solidFill>
          <a:srgbClr val="FFFFFF"/>
        </a:solidFill>
        <a:ln w="3175">
          <a:solidFill>
            <a:srgbClr val="000000"/>
          </a:solidFill>
          <a:prstDash val="solid"/>
        </a:ln>
      </c:spPr>
    </c:plotArea>
    <c:legend>
      <c:legendPos val="r"/>
      <c:layout>
        <c:manualLayout>
          <c:xMode val="edge"/>
          <c:yMode val="edge"/>
          <c:x val="0.83896212973378326"/>
          <c:y val="0.35958976018408678"/>
          <c:w val="0.14026001295292642"/>
          <c:h val="0.39383633552655245"/>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Hounslow </a:t>
            </a:r>
            <a:r>
              <a:rPr lang="en-US" sz="800" b="1" i="0" u="none" strike="noStrike" baseline="0">
                <a:effectLst/>
              </a:rPr>
              <a:t>Public Health </a:t>
            </a:r>
            <a:r>
              <a:rPr lang="en-US"/>
              <a:t>Variance (£'000)</a:t>
            </a:r>
          </a:p>
        </c:rich>
      </c:tx>
      <c:layout>
        <c:manualLayout>
          <c:xMode val="edge"/>
          <c:yMode val="edge"/>
          <c:x val="0.26424870466321243"/>
          <c:y val="3.7542662116040973E-2"/>
        </c:manualLayout>
      </c:layout>
      <c:spPr>
        <a:noFill/>
        <a:ln w="25400">
          <a:noFill/>
        </a:ln>
      </c:spPr>
    </c:title>
    <c:plotArea>
      <c:layout>
        <c:manualLayout>
          <c:layoutTarget val="inner"/>
          <c:xMode val="edge"/>
          <c:yMode val="edge"/>
          <c:x val="0.15284974093264256"/>
          <c:y val="0.19453924914675771"/>
          <c:w val="0.65803108808290167"/>
          <c:h val="0.72354948805460761"/>
        </c:manualLayout>
      </c:layout>
      <c:barChart>
        <c:barDir val="col"/>
        <c:grouping val="clustered"/>
        <c:ser>
          <c:idx val="0"/>
          <c:order val="0"/>
          <c:tx>
            <c:strRef>
              <c:f>'Data lookup'!$B$48</c:f>
              <c:strCache>
                <c:ptCount val="1"/>
                <c:pt idx="0">
                  <c:v>Admin</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lookup'!$B$49</c:f>
              <c:numCache>
                <c:formatCode>#,##0</c:formatCode>
                <c:ptCount val="1"/>
                <c:pt idx="0">
                  <c:v>-8</c:v>
                </c:pt>
              </c:numCache>
            </c:numRef>
          </c:val>
        </c:ser>
        <c:ser>
          <c:idx val="7"/>
          <c:order val="1"/>
          <c:tx>
            <c:strRef>
              <c:f>'Data lookup'!$C$48</c:f>
              <c:strCache>
                <c:ptCount val="1"/>
                <c:pt idx="0">
                  <c:v>Program</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lookup'!$C$49</c:f>
              <c:numCache>
                <c:formatCode>#,##0</c:formatCode>
                <c:ptCount val="1"/>
                <c:pt idx="0">
                  <c:v>101</c:v>
                </c:pt>
              </c:numCache>
            </c:numRef>
          </c:val>
        </c:ser>
        <c:ser>
          <c:idx val="6"/>
          <c:order val="2"/>
          <c:tx>
            <c:strRef>
              <c:f>'Data lookup'!$D$48</c:f>
              <c:strCache>
                <c:ptCount val="1"/>
                <c:pt idx="0">
                  <c:v>Total</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lookup'!$D$49</c:f>
              <c:numCache>
                <c:formatCode>#,##0</c:formatCode>
                <c:ptCount val="1"/>
                <c:pt idx="0">
                  <c:v>93</c:v>
                </c:pt>
              </c:numCache>
            </c:numRef>
          </c:val>
        </c:ser>
        <c:axId val="55016832"/>
        <c:axId val="55030912"/>
      </c:barChart>
      <c:catAx>
        <c:axId val="55016832"/>
        <c:scaling>
          <c:orientation val="minMax"/>
        </c:scaling>
        <c:axPos val="b"/>
        <c:tickLblPos val="none"/>
        <c:spPr>
          <a:ln w="9525">
            <a:noFill/>
          </a:ln>
        </c:spPr>
        <c:crossAx val="55030912"/>
        <c:crosses val="autoZero"/>
        <c:auto val="1"/>
        <c:lblAlgn val="ctr"/>
        <c:lblOffset val="100"/>
        <c:tickMarkSkip val="1"/>
      </c:catAx>
      <c:valAx>
        <c:axId val="5503091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5016832"/>
        <c:crosses val="autoZero"/>
        <c:crossBetween val="between"/>
      </c:valAx>
      <c:spPr>
        <a:solidFill>
          <a:srgbClr val="FFFFFF"/>
        </a:solidFill>
        <a:ln w="3175">
          <a:solidFill>
            <a:srgbClr val="000000"/>
          </a:solidFill>
          <a:prstDash val="solid"/>
        </a:ln>
      </c:spPr>
    </c:plotArea>
    <c:legend>
      <c:legendPos val="r"/>
      <c:layout>
        <c:manualLayout>
          <c:xMode val="edge"/>
          <c:yMode val="edge"/>
          <c:x val="0.8393782383419689"/>
          <c:y val="0.36177474402730381"/>
          <c:w val="0.13989637305699495"/>
          <c:h val="0.3924914675767918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Ealing Cash Draw Down</a:t>
            </a:r>
          </a:p>
        </c:rich>
      </c:tx>
      <c:layout>
        <c:manualLayout>
          <c:xMode val="edge"/>
          <c:yMode val="edge"/>
          <c:x val="0.29467117550745042"/>
          <c:y val="3.7162162162162178E-2"/>
        </c:manualLayout>
      </c:layout>
      <c:spPr>
        <a:noFill/>
        <a:ln w="25400">
          <a:noFill/>
        </a:ln>
      </c:spPr>
    </c:title>
    <c:plotArea>
      <c:layout>
        <c:manualLayout>
          <c:layoutTarget val="inner"/>
          <c:xMode val="edge"/>
          <c:yMode val="edge"/>
          <c:x val="0.14106604664547223"/>
          <c:y val="0.18243243243243271"/>
          <c:w val="0.78370025914151165"/>
          <c:h val="0.54729729729729759"/>
        </c:manualLayout>
      </c:layout>
      <c:barChart>
        <c:barDir val="col"/>
        <c:grouping val="clustered"/>
        <c:ser>
          <c:idx val="0"/>
          <c:order val="0"/>
          <c:tx>
            <c:strRef>
              <c:f>'Data lookup'!$A$77</c:f>
              <c:strCache>
                <c:ptCount val="1"/>
                <c:pt idx="0">
                  <c:v>Total Charge to Cash Limit</c:v>
                </c:pt>
              </c:strCache>
            </c:strRef>
          </c:tx>
          <c:spPr>
            <a:solidFill>
              <a:srgbClr val="9999FF"/>
            </a:solidFill>
            <a:ln w="12700">
              <a:solidFill>
                <a:srgbClr val="000000"/>
              </a:solidFill>
              <a:prstDash val="solid"/>
            </a:ln>
          </c:spPr>
          <c:cat>
            <c:numRef>
              <c:f>'Data lookup'!$B$76:$M$76</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lookup'!$B$77:$M$77</c:f>
              <c:numCache>
                <c:formatCode>General</c:formatCode>
                <c:ptCount val="12"/>
                <c:pt idx="0">
                  <c:v>47</c:v>
                </c:pt>
                <c:pt idx="1">
                  <c:v>51</c:v>
                </c:pt>
                <c:pt idx="2">
                  <c:v>49</c:v>
                </c:pt>
                <c:pt idx="3">
                  <c:v>50</c:v>
                </c:pt>
                <c:pt idx="4">
                  <c:v>50</c:v>
                </c:pt>
                <c:pt idx="5">
                  <c:v>51</c:v>
                </c:pt>
              </c:numCache>
            </c:numRef>
          </c:val>
        </c:ser>
        <c:ser>
          <c:idx val="1"/>
          <c:order val="1"/>
          <c:tx>
            <c:strRef>
              <c:f>'Data lookup'!$A$78</c:f>
              <c:strCache>
                <c:ptCount val="1"/>
                <c:pt idx="0">
                  <c:v>Cash Limit</c:v>
                </c:pt>
              </c:strCache>
            </c:strRef>
          </c:tx>
          <c:spPr>
            <a:solidFill>
              <a:srgbClr val="993366"/>
            </a:solidFill>
            <a:ln w="12700">
              <a:solidFill>
                <a:srgbClr val="000000"/>
              </a:solidFill>
              <a:prstDash val="solid"/>
            </a:ln>
          </c:spPr>
          <c:cat>
            <c:numRef>
              <c:f>'Data lookup'!$B$76:$M$76</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lookup'!$B$78:$M$78</c:f>
              <c:numCache>
                <c:formatCode>General</c:formatCode>
                <c:ptCount val="12"/>
                <c:pt idx="0">
                  <c:v>47</c:v>
                </c:pt>
                <c:pt idx="1">
                  <c:v>51</c:v>
                </c:pt>
                <c:pt idx="2">
                  <c:v>49</c:v>
                </c:pt>
                <c:pt idx="3">
                  <c:v>50</c:v>
                </c:pt>
                <c:pt idx="4">
                  <c:v>50</c:v>
                </c:pt>
                <c:pt idx="5">
                  <c:v>51</c:v>
                </c:pt>
                <c:pt idx="6">
                  <c:v>50</c:v>
                </c:pt>
                <c:pt idx="7">
                  <c:v>50</c:v>
                </c:pt>
                <c:pt idx="8">
                  <c:v>50</c:v>
                </c:pt>
                <c:pt idx="9">
                  <c:v>50</c:v>
                </c:pt>
                <c:pt idx="10">
                  <c:v>51</c:v>
                </c:pt>
                <c:pt idx="11">
                  <c:v>51</c:v>
                </c:pt>
              </c:numCache>
            </c:numRef>
          </c:val>
        </c:ser>
        <c:axId val="70408832"/>
        <c:axId val="70423296"/>
      </c:barChart>
      <c:dateAx>
        <c:axId val="70408832"/>
        <c:scaling>
          <c:orientation val="minMax"/>
        </c:scaling>
        <c:axPos val="b"/>
        <c:title>
          <c:tx>
            <c:rich>
              <a:bodyPr/>
              <a:lstStyle/>
              <a:p>
                <a:pPr>
                  <a:defRPr sz="500" b="1" i="0" u="none" strike="noStrike" baseline="0">
                    <a:solidFill>
                      <a:srgbClr val="000000"/>
                    </a:solidFill>
                    <a:latin typeface="Arial"/>
                    <a:ea typeface="Arial"/>
                    <a:cs typeface="Arial"/>
                  </a:defRPr>
                </a:pPr>
                <a:r>
                  <a:rPr lang="en-US"/>
                  <a:t>Month</a:t>
                </a:r>
              </a:p>
            </c:rich>
          </c:tx>
          <c:layout>
            <c:manualLayout>
              <c:xMode val="edge"/>
              <c:yMode val="edge"/>
              <c:x val="0.48589407515283178"/>
              <c:y val="0.83108108108108103"/>
            </c:manualLayout>
          </c:layout>
          <c:spPr>
            <a:noFill/>
            <a:ln w="25400">
              <a:noFill/>
            </a:ln>
          </c:spPr>
        </c:title>
        <c:numFmt formatCode="mmm\-yy" sourceLinked="0"/>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423296"/>
        <c:crosses val="autoZero"/>
        <c:auto val="1"/>
        <c:lblOffset val="100"/>
        <c:baseTimeUnit val="months"/>
        <c:majorUnit val="1"/>
        <c:majorTimeUnit val="months"/>
        <c:minorUnit val="1"/>
        <c:minorTimeUnit val="months"/>
      </c:dateAx>
      <c:valAx>
        <c:axId val="70423296"/>
        <c:scaling>
          <c:orientation val="minMax"/>
          <c:min val="0"/>
        </c:scaling>
        <c:axPos val="l"/>
        <c:majorGridlines>
          <c:spPr>
            <a:ln w="3175">
              <a:solidFill>
                <a:srgbClr val="000000"/>
              </a:solidFill>
              <a:prstDash val="solid"/>
            </a:ln>
          </c:spPr>
        </c:majorGridlines>
        <c:title>
          <c:tx>
            <c:rich>
              <a:bodyPr/>
              <a:lstStyle/>
              <a:p>
                <a:pPr>
                  <a:defRPr sz="500" b="1" i="0" u="none" strike="noStrike" baseline="0">
                    <a:solidFill>
                      <a:srgbClr val="000000"/>
                    </a:solidFill>
                    <a:latin typeface="Arial"/>
                    <a:ea typeface="Arial"/>
                    <a:cs typeface="Arial"/>
                  </a:defRPr>
                </a:pPr>
                <a:r>
                  <a:rPr lang="en-US"/>
                  <a:t>£'000</a:t>
                </a:r>
              </a:p>
            </c:rich>
          </c:tx>
          <c:layout>
            <c:manualLayout>
              <c:xMode val="edge"/>
              <c:yMode val="edge"/>
              <c:x val="5.0156739811912252E-2"/>
              <c:y val="0.40878378378378388"/>
            </c:manualLayout>
          </c:layout>
          <c:spPr>
            <a:noFill/>
            <a:ln w="25400">
              <a:noFill/>
            </a:ln>
          </c:spPr>
        </c:title>
        <c:numFmt formatCode="General" sourceLinked="1"/>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408832"/>
        <c:crosses val="autoZero"/>
        <c:crossBetween val="between"/>
        <c:majorUnit val="5"/>
      </c:valAx>
      <c:spPr>
        <a:solidFill>
          <a:srgbClr val="C0C0C0"/>
        </a:solidFill>
        <a:ln w="12700">
          <a:solidFill>
            <a:srgbClr val="808080"/>
          </a:solidFill>
          <a:prstDash val="solid"/>
        </a:ln>
      </c:spPr>
    </c:plotArea>
    <c:legend>
      <c:legendPos val="b"/>
      <c:layout>
        <c:manualLayout>
          <c:xMode val="edge"/>
          <c:yMode val="edge"/>
          <c:x val="0.30094076798393943"/>
          <c:y val="0.92229729729729748"/>
          <c:w val="0.46395050148511996"/>
          <c:h val="5.4054054054054078E-2"/>
        </c:manualLayout>
      </c:layout>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00" b="1" i="0" u="none" strike="noStrike" baseline="0">
                <a:solidFill>
                  <a:srgbClr val="000000"/>
                </a:solidFill>
                <a:latin typeface="Arial"/>
                <a:ea typeface="Arial"/>
                <a:cs typeface="Arial"/>
              </a:defRPr>
            </a:pPr>
            <a:r>
              <a:rPr lang="en-US"/>
              <a:t>A&amp;E Attendances 08/09 and 09/10</a:t>
            </a:r>
          </a:p>
        </c:rich>
      </c:tx>
      <c:layout/>
      <c:spPr>
        <a:noFill/>
        <a:ln w="25400">
          <a:noFill/>
        </a:ln>
      </c:spPr>
    </c:title>
    <c:plotArea>
      <c:layout/>
      <c:barChart>
        <c:barDir val="col"/>
        <c:grouping val="clustered"/>
        <c:ser>
          <c:idx val="0"/>
          <c:order val="0"/>
          <c:spPr>
            <a:solidFill>
              <a:srgbClr val="9999FF"/>
            </a:solidFill>
            <a:ln w="12700">
              <a:solidFill>
                <a:srgbClr val="000000"/>
              </a:solidFill>
              <a:prstDash val="solid"/>
            </a:ln>
          </c:spPr>
        </c:ser>
        <c:ser>
          <c:idx val="1"/>
          <c:order val="1"/>
          <c:spPr>
            <a:solidFill>
              <a:srgbClr val="993366"/>
            </a:solidFill>
            <a:ln w="12700">
              <a:solidFill>
                <a:srgbClr val="000000"/>
              </a:solidFill>
              <a:prstDash val="solid"/>
            </a:ln>
          </c:spPr>
        </c:ser>
        <c:axId val="51718784"/>
        <c:axId val="51733248"/>
      </c:barChart>
      <c:catAx>
        <c:axId val="51718784"/>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733248"/>
        <c:crosses val="autoZero"/>
        <c:auto val="1"/>
        <c:lblAlgn val="ctr"/>
        <c:lblOffset val="100"/>
        <c:tickLblSkip val="1"/>
        <c:tickMarkSkip val="1"/>
      </c:catAx>
      <c:valAx>
        <c:axId val="51733248"/>
        <c:scaling>
          <c:orientation val="minMax"/>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No of Attendances</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718784"/>
        <c:crosses val="autoZero"/>
        <c:crossBetween val="between"/>
      </c:valAx>
      <c:spPr>
        <a:solidFill>
          <a:srgbClr val="C0C0C0"/>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Hillingdon Cash Draw Down</a:t>
            </a:r>
          </a:p>
        </c:rich>
      </c:tx>
      <c:layout>
        <c:manualLayout>
          <c:xMode val="edge"/>
          <c:yMode val="edge"/>
          <c:x val="0.25559138973443024"/>
          <c:y val="3.7414965986394579E-2"/>
        </c:manualLayout>
      </c:layout>
      <c:spPr>
        <a:noFill/>
        <a:ln w="25400">
          <a:noFill/>
        </a:ln>
      </c:spPr>
    </c:title>
    <c:plotArea>
      <c:layout>
        <c:manualLayout>
          <c:layoutTarget val="inner"/>
          <c:xMode val="edge"/>
          <c:yMode val="edge"/>
          <c:x val="0.14377019233319241"/>
          <c:y val="0.1836740794871369"/>
          <c:w val="0.77955393176219889"/>
          <c:h val="0.54421949477670162"/>
        </c:manualLayout>
      </c:layout>
      <c:barChart>
        <c:barDir val="col"/>
        <c:grouping val="clustered"/>
        <c:ser>
          <c:idx val="0"/>
          <c:order val="0"/>
          <c:tx>
            <c:strRef>
              <c:f>'Data lookup'!$A$82</c:f>
              <c:strCache>
                <c:ptCount val="1"/>
                <c:pt idx="0">
                  <c:v>Total Charge to Cash Limit</c:v>
                </c:pt>
              </c:strCache>
            </c:strRef>
          </c:tx>
          <c:spPr>
            <a:solidFill>
              <a:srgbClr val="9999FF"/>
            </a:solidFill>
            <a:ln w="12700">
              <a:solidFill>
                <a:srgbClr val="000000"/>
              </a:solidFill>
              <a:prstDash val="solid"/>
            </a:ln>
          </c:spPr>
          <c:cat>
            <c:numRef>
              <c:f>'Data lookup'!$B$81:$M$81</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lookup'!$B$82:$M$82</c:f>
              <c:numCache>
                <c:formatCode>General</c:formatCode>
                <c:ptCount val="12"/>
                <c:pt idx="0">
                  <c:v>35</c:v>
                </c:pt>
                <c:pt idx="1">
                  <c:v>35</c:v>
                </c:pt>
                <c:pt idx="2">
                  <c:v>35</c:v>
                </c:pt>
                <c:pt idx="3">
                  <c:v>34</c:v>
                </c:pt>
                <c:pt idx="4">
                  <c:v>34</c:v>
                </c:pt>
                <c:pt idx="5">
                  <c:v>35</c:v>
                </c:pt>
              </c:numCache>
            </c:numRef>
          </c:val>
        </c:ser>
        <c:ser>
          <c:idx val="1"/>
          <c:order val="1"/>
          <c:tx>
            <c:strRef>
              <c:f>'Data lookup'!$A$83</c:f>
              <c:strCache>
                <c:ptCount val="1"/>
                <c:pt idx="0">
                  <c:v>Cash Limit</c:v>
                </c:pt>
              </c:strCache>
            </c:strRef>
          </c:tx>
          <c:spPr>
            <a:solidFill>
              <a:srgbClr val="993366"/>
            </a:solidFill>
            <a:ln w="12700">
              <a:solidFill>
                <a:srgbClr val="000000"/>
              </a:solidFill>
              <a:prstDash val="solid"/>
            </a:ln>
          </c:spPr>
          <c:cat>
            <c:numRef>
              <c:f>'Data lookup'!$B$81:$M$81</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lookup'!$B$83:$M$83</c:f>
              <c:numCache>
                <c:formatCode>General</c:formatCode>
                <c:ptCount val="12"/>
                <c:pt idx="0">
                  <c:v>35</c:v>
                </c:pt>
                <c:pt idx="1">
                  <c:v>35</c:v>
                </c:pt>
                <c:pt idx="2">
                  <c:v>35</c:v>
                </c:pt>
                <c:pt idx="3">
                  <c:v>35</c:v>
                </c:pt>
                <c:pt idx="4">
                  <c:v>35</c:v>
                </c:pt>
                <c:pt idx="5">
                  <c:v>35</c:v>
                </c:pt>
                <c:pt idx="6">
                  <c:v>35</c:v>
                </c:pt>
                <c:pt idx="7">
                  <c:v>35</c:v>
                </c:pt>
                <c:pt idx="8">
                  <c:v>35</c:v>
                </c:pt>
                <c:pt idx="9">
                  <c:v>35</c:v>
                </c:pt>
                <c:pt idx="10">
                  <c:v>35</c:v>
                </c:pt>
                <c:pt idx="11">
                  <c:v>34</c:v>
                </c:pt>
              </c:numCache>
            </c:numRef>
          </c:val>
        </c:ser>
        <c:axId val="70478080"/>
        <c:axId val="70484352"/>
      </c:barChart>
      <c:dateAx>
        <c:axId val="70478080"/>
        <c:scaling>
          <c:orientation val="minMax"/>
        </c:scaling>
        <c:axPos val="b"/>
        <c:title>
          <c:tx>
            <c:rich>
              <a:bodyPr/>
              <a:lstStyle/>
              <a:p>
                <a:pPr>
                  <a:defRPr sz="500" b="1" i="0" u="none" strike="noStrike" baseline="0">
                    <a:solidFill>
                      <a:srgbClr val="000000"/>
                    </a:solidFill>
                    <a:latin typeface="Arial"/>
                    <a:ea typeface="Arial"/>
                    <a:cs typeface="Arial"/>
                  </a:defRPr>
                </a:pPr>
                <a:r>
                  <a:rPr lang="en-US"/>
                  <a:t>Month</a:t>
                </a:r>
              </a:p>
            </c:rich>
          </c:tx>
          <c:layout>
            <c:manualLayout>
              <c:xMode val="edge"/>
              <c:yMode val="edge"/>
              <c:x val="0.48562367403755052"/>
              <c:y val="0.82993482957487485"/>
            </c:manualLayout>
          </c:layout>
          <c:spPr>
            <a:noFill/>
            <a:ln w="25400">
              <a:noFill/>
            </a:ln>
          </c:spPr>
        </c:title>
        <c:numFmt formatCode="mmm\-yy" sourceLinked="0"/>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484352"/>
        <c:crosses val="autoZero"/>
        <c:auto val="1"/>
        <c:lblOffset val="100"/>
        <c:baseTimeUnit val="months"/>
        <c:majorUnit val="1"/>
        <c:majorTimeUnit val="months"/>
        <c:minorUnit val="1"/>
        <c:minorTimeUnit val="months"/>
      </c:dateAx>
      <c:valAx>
        <c:axId val="70484352"/>
        <c:scaling>
          <c:orientation val="minMax"/>
          <c:max val="40"/>
          <c:min val="0"/>
        </c:scaling>
        <c:axPos val="l"/>
        <c:majorGridlines>
          <c:spPr>
            <a:ln w="3175">
              <a:solidFill>
                <a:srgbClr val="000000"/>
              </a:solidFill>
              <a:prstDash val="solid"/>
            </a:ln>
          </c:spPr>
        </c:majorGridlines>
        <c:title>
          <c:tx>
            <c:rich>
              <a:bodyPr/>
              <a:lstStyle/>
              <a:p>
                <a:pPr>
                  <a:defRPr sz="500" b="1" i="0" u="none" strike="noStrike" baseline="0">
                    <a:solidFill>
                      <a:srgbClr val="000000"/>
                    </a:solidFill>
                    <a:latin typeface="Arial"/>
                    <a:ea typeface="Arial"/>
                    <a:cs typeface="Arial"/>
                  </a:defRPr>
                </a:pPr>
                <a:r>
                  <a:rPr lang="en-US"/>
                  <a:t>£'000</a:t>
                </a:r>
              </a:p>
            </c:rich>
          </c:tx>
          <c:layout>
            <c:manualLayout>
              <c:xMode val="edge"/>
              <c:yMode val="edge"/>
              <c:x val="5.1118210862619813E-2"/>
              <c:y val="0.40816469369900216"/>
            </c:manualLayout>
          </c:layout>
          <c:spPr>
            <a:noFill/>
            <a:ln w="25400">
              <a:noFill/>
            </a:ln>
          </c:spPr>
        </c:title>
        <c:numFmt formatCode="General" sourceLinked="1"/>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478080"/>
        <c:crosses val="autoZero"/>
        <c:crossBetween val="between"/>
      </c:valAx>
      <c:spPr>
        <a:solidFill>
          <a:schemeClr val="bg1">
            <a:lumMod val="75000"/>
          </a:schemeClr>
        </a:solidFill>
      </c:spPr>
    </c:plotArea>
    <c:legend>
      <c:legendPos val="b"/>
      <c:layout>
        <c:manualLayout>
          <c:xMode val="edge"/>
          <c:yMode val="edge"/>
          <c:x val="0.29712493606030882"/>
          <c:y val="0.92177192136697195"/>
          <c:w val="0.47284412132189557"/>
          <c:h val="5.4422125805702853E-2"/>
        </c:manualLayout>
      </c:layout>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Hounslow Cash Draw Down</a:t>
            </a:r>
          </a:p>
        </c:rich>
      </c:tx>
      <c:layout>
        <c:manualLayout>
          <c:xMode val="edge"/>
          <c:yMode val="edge"/>
          <c:x val="0.25867507886435331"/>
          <c:y val="2.0689655172413807E-2"/>
        </c:manualLayout>
      </c:layout>
      <c:spPr>
        <a:noFill/>
        <a:ln w="25400">
          <a:noFill/>
        </a:ln>
      </c:spPr>
    </c:title>
    <c:plotArea>
      <c:layout>
        <c:manualLayout>
          <c:layoutTarget val="inner"/>
          <c:xMode val="edge"/>
          <c:yMode val="edge"/>
          <c:x val="0.14195583596214525"/>
          <c:y val="0.18620689655172434"/>
          <c:w val="0.78233438485804385"/>
          <c:h val="0.5379310344827587"/>
        </c:manualLayout>
      </c:layout>
      <c:barChart>
        <c:barDir val="col"/>
        <c:grouping val="clustered"/>
        <c:ser>
          <c:idx val="0"/>
          <c:order val="0"/>
          <c:tx>
            <c:strRef>
              <c:f>'Data lookup'!$A$87</c:f>
              <c:strCache>
                <c:ptCount val="1"/>
                <c:pt idx="0">
                  <c:v>Total Charge to Cash Limit</c:v>
                </c:pt>
              </c:strCache>
            </c:strRef>
          </c:tx>
          <c:spPr>
            <a:solidFill>
              <a:srgbClr val="9999FF"/>
            </a:solidFill>
            <a:ln w="12700">
              <a:solidFill>
                <a:srgbClr val="000000"/>
              </a:solidFill>
              <a:prstDash val="solid"/>
            </a:ln>
          </c:spPr>
          <c:cat>
            <c:numRef>
              <c:f>'Data lookup'!$B$86:$M$86</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lookup'!$B$87:$M$87</c:f>
              <c:numCache>
                <c:formatCode>General</c:formatCode>
                <c:ptCount val="12"/>
                <c:pt idx="0">
                  <c:v>35</c:v>
                </c:pt>
                <c:pt idx="1">
                  <c:v>35</c:v>
                </c:pt>
                <c:pt idx="2">
                  <c:v>36</c:v>
                </c:pt>
                <c:pt idx="3">
                  <c:v>34</c:v>
                </c:pt>
                <c:pt idx="4">
                  <c:v>36</c:v>
                </c:pt>
                <c:pt idx="5">
                  <c:v>37</c:v>
                </c:pt>
              </c:numCache>
            </c:numRef>
          </c:val>
        </c:ser>
        <c:ser>
          <c:idx val="1"/>
          <c:order val="1"/>
          <c:tx>
            <c:strRef>
              <c:f>'Data lookup'!$A$88</c:f>
              <c:strCache>
                <c:ptCount val="1"/>
                <c:pt idx="0">
                  <c:v>Cash Limit</c:v>
                </c:pt>
              </c:strCache>
            </c:strRef>
          </c:tx>
          <c:spPr>
            <a:solidFill>
              <a:srgbClr val="993366"/>
            </a:solidFill>
          </c:spPr>
          <c:cat>
            <c:numRef>
              <c:f>'Data lookup'!$B$86:$M$86</c:f>
              <c:numCache>
                <c:formatCode>mmm\-yy</c:formatCode>
                <c:ptCount val="1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numCache>
            </c:numRef>
          </c:cat>
          <c:val>
            <c:numRef>
              <c:f>'Data lookup'!$B$88:$M$88</c:f>
              <c:numCache>
                <c:formatCode>General</c:formatCode>
                <c:ptCount val="12"/>
                <c:pt idx="0">
                  <c:v>35</c:v>
                </c:pt>
                <c:pt idx="1">
                  <c:v>35</c:v>
                </c:pt>
                <c:pt idx="2">
                  <c:v>35</c:v>
                </c:pt>
                <c:pt idx="3">
                  <c:v>35</c:v>
                </c:pt>
                <c:pt idx="4">
                  <c:v>35</c:v>
                </c:pt>
                <c:pt idx="5">
                  <c:v>35</c:v>
                </c:pt>
                <c:pt idx="6">
                  <c:v>35</c:v>
                </c:pt>
                <c:pt idx="7">
                  <c:v>35</c:v>
                </c:pt>
                <c:pt idx="8">
                  <c:v>35</c:v>
                </c:pt>
                <c:pt idx="9">
                  <c:v>35</c:v>
                </c:pt>
                <c:pt idx="10">
                  <c:v>36</c:v>
                </c:pt>
                <c:pt idx="11">
                  <c:v>36</c:v>
                </c:pt>
              </c:numCache>
            </c:numRef>
          </c:val>
        </c:ser>
        <c:axId val="70547328"/>
        <c:axId val="70561792"/>
      </c:barChart>
      <c:dateAx>
        <c:axId val="70547328"/>
        <c:scaling>
          <c:orientation val="minMax"/>
        </c:scaling>
        <c:axPos val="b"/>
        <c:title>
          <c:tx>
            <c:rich>
              <a:bodyPr/>
              <a:lstStyle/>
              <a:p>
                <a:pPr>
                  <a:defRPr sz="500" b="1" i="0" u="none" strike="noStrike" baseline="0">
                    <a:solidFill>
                      <a:srgbClr val="000000"/>
                    </a:solidFill>
                    <a:latin typeface="Arial"/>
                    <a:ea typeface="Arial"/>
                    <a:cs typeface="Arial"/>
                  </a:defRPr>
                </a:pPr>
                <a:r>
                  <a:rPr lang="en-US"/>
                  <a:t>Month</a:t>
                </a:r>
              </a:p>
            </c:rich>
          </c:tx>
          <c:layout>
            <c:manualLayout>
              <c:xMode val="edge"/>
              <c:yMode val="edge"/>
              <c:x val="0.48580441640378547"/>
              <c:y val="0.82758620689655149"/>
            </c:manualLayout>
          </c:layout>
          <c:spPr>
            <a:noFill/>
            <a:ln w="25400">
              <a:noFill/>
            </a:ln>
          </c:spPr>
        </c:title>
        <c:numFmt formatCode="mmm\-yy" sourceLinked="0"/>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561792"/>
        <c:crosses val="autoZero"/>
        <c:auto val="1"/>
        <c:lblOffset val="100"/>
        <c:baseTimeUnit val="months"/>
        <c:majorUnit val="1"/>
        <c:majorTimeUnit val="months"/>
        <c:minorUnit val="1"/>
        <c:minorTimeUnit val="months"/>
      </c:dateAx>
      <c:valAx>
        <c:axId val="70561792"/>
        <c:scaling>
          <c:orientation val="minMax"/>
          <c:max val="40"/>
          <c:min val="0"/>
        </c:scaling>
        <c:axPos val="l"/>
        <c:majorGridlines>
          <c:spPr>
            <a:ln w="3175">
              <a:solidFill>
                <a:srgbClr val="000000"/>
              </a:solidFill>
              <a:prstDash val="solid"/>
            </a:ln>
          </c:spPr>
        </c:majorGridlines>
        <c:title>
          <c:tx>
            <c:rich>
              <a:bodyPr/>
              <a:lstStyle/>
              <a:p>
                <a:pPr>
                  <a:defRPr sz="500" b="1" i="0" u="none" strike="noStrike" baseline="0">
                    <a:solidFill>
                      <a:srgbClr val="000000"/>
                    </a:solidFill>
                    <a:latin typeface="Arial"/>
                    <a:ea typeface="Arial"/>
                    <a:cs typeface="Arial"/>
                  </a:defRPr>
                </a:pPr>
                <a:r>
                  <a:rPr lang="en-US"/>
                  <a:t>£'000</a:t>
                </a:r>
              </a:p>
            </c:rich>
          </c:tx>
          <c:layout>
            <c:manualLayout>
              <c:xMode val="edge"/>
              <c:yMode val="edge"/>
              <c:x val="5.0473186119873822E-2"/>
              <c:y val="0.40689655172413791"/>
            </c:manualLayout>
          </c:layout>
          <c:spPr>
            <a:noFill/>
            <a:ln w="25400">
              <a:noFill/>
            </a:ln>
          </c:spPr>
        </c:title>
        <c:numFmt formatCode="General" sourceLinked="1"/>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70547328"/>
        <c:crosses val="autoZero"/>
        <c:crossBetween val="between"/>
        <c:majorUnit val="5"/>
      </c:valAx>
      <c:spPr>
        <a:solidFill>
          <a:srgbClr val="C0C0C0"/>
        </a:solidFill>
        <a:ln w="12700">
          <a:solidFill>
            <a:srgbClr val="808080"/>
          </a:solidFill>
          <a:prstDash val="solid"/>
        </a:ln>
      </c:spPr>
    </c:plotArea>
    <c:legend>
      <c:legendPos val="b"/>
      <c:layout>
        <c:manualLayout>
          <c:xMode val="edge"/>
          <c:yMode val="edge"/>
          <c:x val="0.29652996845425889"/>
          <c:y val="0.92068965517241375"/>
          <c:w val="0.46687697160883307"/>
          <c:h val="5.5172413793103468E-2"/>
        </c:manualLayout>
      </c:layout>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67749160134379"/>
          <c:y val="0.10924392160402771"/>
          <c:w val="0.82754759238521869"/>
          <c:h val="0.35294190056685881"/>
        </c:manualLayout>
      </c:layout>
      <c:barChart>
        <c:barDir val="col"/>
        <c:grouping val="clustered"/>
        <c:ser>
          <c:idx val="1"/>
          <c:order val="0"/>
          <c:tx>
            <c:strRef>
              <c:f>'Data lookup'!$A$120</c:f>
              <c:strCache>
                <c:ptCount val="1"/>
                <c:pt idx="0">
                  <c:v>Value %</c:v>
                </c:pt>
              </c:strCache>
            </c:strRef>
          </c:tx>
          <c:spPr>
            <a:solidFill>
              <a:srgbClr val="993366"/>
            </a:solidFill>
            <a:ln w="12700">
              <a:solidFill>
                <a:srgbClr val="000000"/>
              </a:solidFill>
              <a:prstDash val="solid"/>
            </a:ln>
          </c:spPr>
          <c:cat>
            <c:numRef>
              <c:f>'Data lookup'!$B$119:$M$119</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lookup'!$B$120:$M$120</c:f>
              <c:numCache>
                <c:formatCode>0.00%</c:formatCode>
                <c:ptCount val="12"/>
                <c:pt idx="0">
                  <c:v>0.98089999999999999</c:v>
                </c:pt>
                <c:pt idx="1">
                  <c:v>0.97599999999999998</c:v>
                </c:pt>
                <c:pt idx="2">
                  <c:v>0.97860000000000003</c:v>
                </c:pt>
                <c:pt idx="3">
                  <c:v>0.92869999999999997</c:v>
                </c:pt>
                <c:pt idx="4">
                  <c:v>0.94169999999999998</c:v>
                </c:pt>
                <c:pt idx="5">
                  <c:v>0.96619999999999995</c:v>
                </c:pt>
                <c:pt idx="6">
                  <c:v>0.98740000000000006</c:v>
                </c:pt>
                <c:pt idx="7">
                  <c:v>0.97489999999999999</c:v>
                </c:pt>
                <c:pt idx="8">
                  <c:v>0.98760000000000003</c:v>
                </c:pt>
                <c:pt idx="9">
                  <c:v>0.98680000000000001</c:v>
                </c:pt>
                <c:pt idx="10">
                  <c:v>0.96130000000000004</c:v>
                </c:pt>
                <c:pt idx="11">
                  <c:v>0.95860000000000001</c:v>
                </c:pt>
              </c:numCache>
            </c:numRef>
          </c:val>
        </c:ser>
        <c:ser>
          <c:idx val="0"/>
          <c:order val="1"/>
          <c:tx>
            <c:strRef>
              <c:f>'Data lookup'!$A$121</c:f>
              <c:strCache>
                <c:ptCount val="1"/>
                <c:pt idx="0">
                  <c:v>Number %</c:v>
                </c:pt>
              </c:strCache>
            </c:strRef>
          </c:tx>
          <c:spPr>
            <a:solidFill>
              <a:srgbClr val="9999FF"/>
            </a:solidFill>
            <a:ln w="12700">
              <a:solidFill>
                <a:srgbClr val="000000"/>
              </a:solidFill>
              <a:prstDash val="solid"/>
            </a:ln>
          </c:spPr>
          <c:cat>
            <c:numRef>
              <c:f>'Data lookup'!$B$119:$M$119</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lookup'!$B$121:$M$121</c:f>
              <c:numCache>
                <c:formatCode>0.00%</c:formatCode>
                <c:ptCount val="12"/>
                <c:pt idx="0">
                  <c:v>0.81520000000000004</c:v>
                </c:pt>
                <c:pt idx="1">
                  <c:v>0.91620000000000001</c:v>
                </c:pt>
                <c:pt idx="2">
                  <c:v>0.79059999999999997</c:v>
                </c:pt>
                <c:pt idx="3">
                  <c:v>0.89139999999999997</c:v>
                </c:pt>
                <c:pt idx="4">
                  <c:v>0.75819999999999999</c:v>
                </c:pt>
                <c:pt idx="5">
                  <c:v>0.59519999999999995</c:v>
                </c:pt>
                <c:pt idx="6">
                  <c:v>0.94769999999999999</c:v>
                </c:pt>
                <c:pt idx="7">
                  <c:v>0.91920000000000002</c:v>
                </c:pt>
                <c:pt idx="8">
                  <c:v>0.90659999999999996</c:v>
                </c:pt>
                <c:pt idx="9">
                  <c:v>0.71940000000000004</c:v>
                </c:pt>
                <c:pt idx="10">
                  <c:v>0.79900000000000004</c:v>
                </c:pt>
                <c:pt idx="11">
                  <c:v>0.7177</c:v>
                </c:pt>
              </c:numCache>
            </c:numRef>
          </c:val>
        </c:ser>
        <c:axId val="70664576"/>
        <c:axId val="70666496"/>
      </c:barChart>
      <c:lineChart>
        <c:grouping val="standard"/>
        <c:ser>
          <c:idx val="2"/>
          <c:order val="2"/>
          <c:tx>
            <c:strRef>
              <c:f>'Data lookup'!$A$122</c:f>
              <c:strCache>
                <c:ptCount val="1"/>
                <c:pt idx="0">
                  <c:v>Target %</c:v>
                </c:pt>
              </c:strCache>
            </c:strRef>
          </c:tx>
          <c:spPr>
            <a:ln w="12700">
              <a:solidFill>
                <a:srgbClr val="FFFF00"/>
              </a:solidFill>
            </a:ln>
          </c:spPr>
          <c:marker>
            <c:symbol val="triangle"/>
            <c:size val="8"/>
            <c:spPr>
              <a:solidFill>
                <a:srgbClr val="FFFF00"/>
              </a:solidFill>
            </c:spPr>
          </c:marker>
          <c:trendline>
            <c:spPr>
              <a:ln w="0" cmpd="sng">
                <a:solidFill>
                  <a:srgbClr val="FFFF00"/>
                </a:solidFill>
              </a:ln>
            </c:spPr>
            <c:trendlineType val="linear"/>
          </c:trendline>
          <c:cat>
            <c:numRef>
              <c:f>'Data lookup'!$B$119:$M$119</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lookup'!$B$122:$M$122</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er>
        <c:marker val="1"/>
        <c:axId val="70664576"/>
        <c:axId val="70666496"/>
      </c:lineChart>
      <c:catAx>
        <c:axId val="70664576"/>
        <c:scaling>
          <c:orientation val="minMax"/>
        </c:scaling>
        <c:axPos val="b"/>
        <c:title>
          <c:tx>
            <c:rich>
              <a:bodyPr/>
              <a:lstStyle/>
              <a:p>
                <a:pPr>
                  <a:defRPr sz="1000" b="1" i="0" u="none" strike="noStrike" baseline="0">
                    <a:solidFill>
                      <a:srgbClr val="000000"/>
                    </a:solidFill>
                    <a:latin typeface="Arial"/>
                    <a:ea typeface="Arial"/>
                    <a:cs typeface="Arial"/>
                  </a:defRPr>
                </a:pPr>
                <a:r>
                  <a:rPr lang="en-US"/>
                  <a:t>Month</a:t>
                </a:r>
              </a:p>
            </c:rich>
          </c:tx>
          <c:layout>
            <c:manualLayout>
              <c:xMode val="edge"/>
              <c:yMode val="edge"/>
              <c:x val="0.54647256438969749"/>
              <c:y val="0.84033789893910338"/>
            </c:manualLayout>
          </c:layout>
          <c:spPr>
            <a:noFill/>
            <a:ln w="25400">
              <a:noFill/>
            </a:ln>
          </c:spPr>
        </c:title>
        <c:numFmt formatCode="mmm\-yy"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666496"/>
        <c:crosses val="autoZero"/>
        <c:lblAlgn val="ctr"/>
        <c:lblOffset val="100"/>
        <c:tickLblSkip val="1"/>
        <c:tickMarkSkip val="1"/>
      </c:catAx>
      <c:valAx>
        <c:axId val="70666496"/>
        <c:scaling>
          <c:orientation val="minMax"/>
          <c:max val="1"/>
          <c:min val="0.7000000000000004"/>
        </c:scaling>
        <c:axPos val="l"/>
        <c:title>
          <c:tx>
            <c:rich>
              <a:bodyPr/>
              <a:lstStyle/>
              <a:p>
                <a:pPr>
                  <a:defRPr sz="1000" b="1" i="0" u="none" strike="noStrike" baseline="0">
                    <a:solidFill>
                      <a:srgbClr val="000000"/>
                    </a:solidFill>
                    <a:latin typeface="Arial"/>
                    <a:ea typeface="Arial"/>
                    <a:cs typeface="Arial"/>
                  </a:defRPr>
                </a:pPr>
                <a:r>
                  <a:rPr lang="en-US"/>
                  <a:t>% Achieved</a:t>
                </a:r>
              </a:p>
            </c:rich>
          </c:tx>
          <c:layout>
            <c:manualLayout>
              <c:xMode val="edge"/>
              <c:yMode val="edge"/>
              <c:x val="1.7917133258678615E-2"/>
              <c:y val="0.12605086128939766"/>
            </c:manualLayout>
          </c:layout>
          <c:spPr>
            <a:noFill/>
            <a:ln w="25400">
              <a:noFill/>
            </a:ln>
          </c:spPr>
        </c:title>
        <c:numFmt formatCode="0.0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664576"/>
        <c:crosses val="autoZero"/>
        <c:crossBetween val="between"/>
        <c:majorUnit val="0.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65997236346954"/>
          <c:y val="0.10878661087866116"/>
          <c:w val="0.82774139635481891"/>
          <c:h val="0.35564853556485387"/>
        </c:manualLayout>
      </c:layout>
      <c:barChart>
        <c:barDir val="col"/>
        <c:grouping val="clustered"/>
        <c:ser>
          <c:idx val="1"/>
          <c:order val="0"/>
          <c:tx>
            <c:strRef>
              <c:f>'Data lookup'!$A$126</c:f>
              <c:strCache>
                <c:ptCount val="1"/>
                <c:pt idx="0">
                  <c:v>Value %</c:v>
                </c:pt>
              </c:strCache>
            </c:strRef>
          </c:tx>
          <c:spPr>
            <a:solidFill>
              <a:srgbClr val="993366"/>
            </a:solidFill>
            <a:ln w="12700">
              <a:solidFill>
                <a:srgbClr val="000000"/>
              </a:solidFill>
              <a:prstDash val="solid"/>
            </a:ln>
          </c:spPr>
          <c:cat>
            <c:numRef>
              <c:f>'Data lookup'!$B$125:$M$125</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lookup'!$B$126:$M$126</c:f>
              <c:numCache>
                <c:formatCode>0.00%</c:formatCode>
                <c:ptCount val="12"/>
                <c:pt idx="0">
                  <c:v>0.98660000000000003</c:v>
                </c:pt>
                <c:pt idx="1">
                  <c:v>0.98340000000000005</c:v>
                </c:pt>
                <c:pt idx="2">
                  <c:v>0.96750000000000003</c:v>
                </c:pt>
                <c:pt idx="3">
                  <c:v>0.95</c:v>
                </c:pt>
                <c:pt idx="4">
                  <c:v>0.98370000000000002</c:v>
                </c:pt>
                <c:pt idx="5">
                  <c:v>0.97130000000000005</c:v>
                </c:pt>
                <c:pt idx="6">
                  <c:v>0.98399999999999999</c:v>
                </c:pt>
                <c:pt idx="7">
                  <c:v>0.9889</c:v>
                </c:pt>
                <c:pt idx="8">
                  <c:v>0.96860000000000002</c:v>
                </c:pt>
                <c:pt idx="9">
                  <c:v>0.9859</c:v>
                </c:pt>
                <c:pt idx="10">
                  <c:v>0.96109999999999995</c:v>
                </c:pt>
                <c:pt idx="11">
                  <c:v>0.9516</c:v>
                </c:pt>
              </c:numCache>
            </c:numRef>
          </c:val>
        </c:ser>
        <c:ser>
          <c:idx val="0"/>
          <c:order val="1"/>
          <c:tx>
            <c:strRef>
              <c:f>'Data lookup'!$A$127</c:f>
              <c:strCache>
                <c:ptCount val="1"/>
                <c:pt idx="0">
                  <c:v>Number %</c:v>
                </c:pt>
              </c:strCache>
            </c:strRef>
          </c:tx>
          <c:spPr>
            <a:solidFill>
              <a:srgbClr val="9999FF"/>
            </a:solidFill>
            <a:ln w="12700">
              <a:solidFill>
                <a:srgbClr val="000000"/>
              </a:solidFill>
              <a:prstDash val="solid"/>
            </a:ln>
          </c:spPr>
          <c:cat>
            <c:numRef>
              <c:f>'Data lookup'!$B$125:$M$125</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lookup'!$B$127:$M$127</c:f>
              <c:numCache>
                <c:formatCode>0.00%</c:formatCode>
                <c:ptCount val="12"/>
                <c:pt idx="0">
                  <c:v>0.93320000000000003</c:v>
                </c:pt>
                <c:pt idx="1">
                  <c:v>0.93269999999999997</c:v>
                </c:pt>
                <c:pt idx="2">
                  <c:v>0.92979999999999996</c:v>
                </c:pt>
                <c:pt idx="3">
                  <c:v>0.85880000000000001</c:v>
                </c:pt>
                <c:pt idx="4">
                  <c:v>0.91479999999999995</c:v>
                </c:pt>
                <c:pt idx="5">
                  <c:v>0.84099999999999997</c:v>
                </c:pt>
                <c:pt idx="6">
                  <c:v>0.91720000000000002</c:v>
                </c:pt>
                <c:pt idx="7">
                  <c:v>0.88170000000000004</c:v>
                </c:pt>
                <c:pt idx="8">
                  <c:v>0.79310000000000003</c:v>
                </c:pt>
                <c:pt idx="9">
                  <c:v>0.83240000000000003</c:v>
                </c:pt>
                <c:pt idx="10">
                  <c:v>0.82389999999999997</c:v>
                </c:pt>
                <c:pt idx="11">
                  <c:v>0.57379999999999998</c:v>
                </c:pt>
              </c:numCache>
            </c:numRef>
          </c:val>
        </c:ser>
        <c:axId val="70585344"/>
        <c:axId val="70599808"/>
      </c:barChart>
      <c:lineChart>
        <c:grouping val="standard"/>
        <c:ser>
          <c:idx val="2"/>
          <c:order val="2"/>
          <c:tx>
            <c:strRef>
              <c:f>'Data lookup'!$A$128</c:f>
              <c:strCache>
                <c:ptCount val="1"/>
                <c:pt idx="0">
                  <c:v>Target %</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'Data lookup'!$B$125:$M$125</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lookup'!$B$128:$M$128</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er>
        <c:marker val="1"/>
        <c:axId val="70601728"/>
        <c:axId val="70611712"/>
      </c:lineChart>
      <c:catAx>
        <c:axId val="70585344"/>
        <c:scaling>
          <c:orientation val="minMax"/>
        </c:scaling>
        <c:axPos val="b"/>
        <c:title>
          <c:tx>
            <c:rich>
              <a:bodyPr/>
              <a:lstStyle/>
              <a:p>
                <a:pPr>
                  <a:defRPr sz="1000" b="1" i="0" u="none" strike="noStrike" baseline="0">
                    <a:solidFill>
                      <a:srgbClr val="000000"/>
                    </a:solidFill>
                    <a:latin typeface="Arial"/>
                    <a:ea typeface="Arial"/>
                    <a:cs typeface="Arial"/>
                  </a:defRPr>
                </a:pPr>
                <a:r>
                  <a:rPr lang="en-US"/>
                  <a:t>Month</a:t>
                </a:r>
              </a:p>
            </c:rich>
          </c:tx>
          <c:layout>
            <c:manualLayout>
              <c:xMode val="edge"/>
              <c:yMode val="edge"/>
              <c:x val="0.54698045294673758"/>
              <c:y val="0.84100418410041844"/>
            </c:manualLayout>
          </c:layout>
          <c:spPr>
            <a:noFill/>
            <a:ln w="25400">
              <a:noFill/>
            </a:ln>
          </c:spPr>
        </c:title>
        <c:numFmt formatCode="mmm\-yy"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599808"/>
        <c:crosses val="autoZero"/>
        <c:lblAlgn val="ctr"/>
        <c:lblOffset val="100"/>
        <c:tickLblSkip val="1"/>
        <c:tickMarkSkip val="1"/>
      </c:catAx>
      <c:valAx>
        <c:axId val="70599808"/>
        <c:scaling>
          <c:orientation val="minMax"/>
          <c:max val="1"/>
          <c:min val="0.5"/>
        </c:scaling>
        <c:axPos val="l"/>
        <c:title>
          <c:tx>
            <c:rich>
              <a:bodyPr/>
              <a:lstStyle/>
              <a:p>
                <a:pPr>
                  <a:defRPr sz="1000" b="1" i="0" u="none" strike="noStrike" baseline="0">
                    <a:solidFill>
                      <a:srgbClr val="000000"/>
                    </a:solidFill>
                    <a:latin typeface="Arial"/>
                    <a:ea typeface="Arial"/>
                    <a:cs typeface="Arial"/>
                  </a:defRPr>
                </a:pPr>
                <a:r>
                  <a:rPr lang="en-US"/>
                  <a:t>% Achieved</a:t>
                </a:r>
              </a:p>
            </c:rich>
          </c:tx>
          <c:layout>
            <c:manualLayout>
              <c:xMode val="edge"/>
              <c:yMode val="edge"/>
              <c:x val="1.7897091722595078E-2"/>
              <c:y val="0.12552301255230131"/>
            </c:manualLayout>
          </c:layout>
          <c:spPr>
            <a:noFill/>
            <a:ln w="25400">
              <a:noFill/>
            </a:ln>
          </c:spPr>
        </c:title>
        <c:numFmt formatCode="0.0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585344"/>
        <c:crosses val="autoZero"/>
        <c:crossBetween val="between"/>
        <c:majorUnit val="0.1"/>
      </c:valAx>
      <c:catAx>
        <c:axId val="70601728"/>
        <c:scaling>
          <c:orientation val="minMax"/>
        </c:scaling>
        <c:delete val="1"/>
        <c:axPos val="b"/>
        <c:numFmt formatCode="mmm\-yy" sourceLinked="1"/>
        <c:tickLblPos val="none"/>
        <c:crossAx val="70611712"/>
        <c:crosses val="autoZero"/>
        <c:lblAlgn val="ctr"/>
        <c:lblOffset val="100"/>
      </c:catAx>
      <c:valAx>
        <c:axId val="70611712"/>
        <c:scaling>
          <c:orientation val="minMax"/>
        </c:scaling>
        <c:delete val="1"/>
        <c:axPos val="l"/>
        <c:numFmt formatCode="0%" sourceLinked="1"/>
        <c:tickLblPos val="none"/>
        <c:crossAx val="7060172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65997236346954"/>
          <c:y val="0.10788403600726953"/>
          <c:w val="0.82774139635481891"/>
          <c:h val="0.36099658202432511"/>
        </c:manualLayout>
      </c:layout>
      <c:barChart>
        <c:barDir val="col"/>
        <c:grouping val="clustered"/>
        <c:ser>
          <c:idx val="1"/>
          <c:order val="0"/>
          <c:tx>
            <c:strRef>
              <c:f>'Data lookup'!$A$132</c:f>
              <c:strCache>
                <c:ptCount val="1"/>
                <c:pt idx="0">
                  <c:v>Value %</c:v>
                </c:pt>
              </c:strCache>
            </c:strRef>
          </c:tx>
          <c:spPr>
            <a:solidFill>
              <a:srgbClr val="993366"/>
            </a:solidFill>
            <a:ln w="12700">
              <a:solidFill>
                <a:srgbClr val="000000"/>
              </a:solidFill>
              <a:prstDash val="solid"/>
            </a:ln>
          </c:spPr>
          <c:cat>
            <c:numRef>
              <c:f>'Data lookup'!$B$131:$M$131</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lookup'!$B$132:$M$132</c:f>
              <c:numCache>
                <c:formatCode>0.00%</c:formatCode>
                <c:ptCount val="12"/>
                <c:pt idx="6">
                  <c:v>0.9839</c:v>
                </c:pt>
                <c:pt idx="7">
                  <c:v>0.99039999999999995</c:v>
                </c:pt>
                <c:pt idx="8">
                  <c:v>0.98829999999999996</c:v>
                </c:pt>
                <c:pt idx="9">
                  <c:v>0.88290000000000002</c:v>
                </c:pt>
                <c:pt idx="10">
                  <c:v>0.87170000000000003</c:v>
                </c:pt>
                <c:pt idx="11">
                  <c:v>0.94320000000000004</c:v>
                </c:pt>
              </c:numCache>
            </c:numRef>
          </c:val>
        </c:ser>
        <c:ser>
          <c:idx val="0"/>
          <c:order val="1"/>
          <c:tx>
            <c:strRef>
              <c:f>'Data lookup'!$A$133</c:f>
              <c:strCache>
                <c:ptCount val="1"/>
                <c:pt idx="0">
                  <c:v>Number %</c:v>
                </c:pt>
              </c:strCache>
            </c:strRef>
          </c:tx>
          <c:spPr>
            <a:solidFill>
              <a:srgbClr val="9999FF"/>
            </a:solidFill>
            <a:ln w="12700">
              <a:solidFill>
                <a:srgbClr val="000000"/>
              </a:solidFill>
              <a:prstDash val="solid"/>
            </a:ln>
          </c:spPr>
          <c:cat>
            <c:numRef>
              <c:f>'Data lookup'!$B$131:$M$131</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lookup'!$B$133:$M$133</c:f>
              <c:numCache>
                <c:formatCode>0.00%</c:formatCode>
                <c:ptCount val="12"/>
                <c:pt idx="6">
                  <c:v>0.95640000000000003</c:v>
                </c:pt>
                <c:pt idx="7">
                  <c:v>0.84560000000000002</c:v>
                </c:pt>
                <c:pt idx="8">
                  <c:v>0.86460000000000004</c:v>
                </c:pt>
                <c:pt idx="9">
                  <c:v>0.67949999999999999</c:v>
                </c:pt>
                <c:pt idx="10">
                  <c:v>0.57440000000000002</c:v>
                </c:pt>
                <c:pt idx="11">
                  <c:v>0.75119999999999998</c:v>
                </c:pt>
              </c:numCache>
            </c:numRef>
          </c:val>
        </c:ser>
        <c:axId val="70800512"/>
        <c:axId val="70802432"/>
      </c:barChart>
      <c:lineChart>
        <c:grouping val="standard"/>
        <c:ser>
          <c:idx val="2"/>
          <c:order val="2"/>
          <c:tx>
            <c:strRef>
              <c:f>'Data lookup'!$A$134</c:f>
              <c:strCache>
                <c:ptCount val="1"/>
                <c:pt idx="0">
                  <c:v>Target %</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'Data lookup'!$B$131:$M$131</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'Data lookup'!$B$134:$M$134</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er>
        <c:marker val="1"/>
        <c:axId val="70812800"/>
        <c:axId val="70814336"/>
      </c:lineChart>
      <c:catAx>
        <c:axId val="70800512"/>
        <c:scaling>
          <c:orientation val="minMax"/>
        </c:scaling>
        <c:axPos val="b"/>
        <c:title>
          <c:tx>
            <c:rich>
              <a:bodyPr/>
              <a:lstStyle/>
              <a:p>
                <a:pPr>
                  <a:defRPr sz="1000" b="1" i="0" u="none" strike="noStrike" baseline="0">
                    <a:solidFill>
                      <a:srgbClr val="000000"/>
                    </a:solidFill>
                    <a:latin typeface="Arial"/>
                    <a:ea typeface="Arial"/>
                    <a:cs typeface="Arial"/>
                  </a:defRPr>
                </a:pPr>
                <a:r>
                  <a:rPr lang="en-US"/>
                  <a:t>Month</a:t>
                </a:r>
              </a:p>
            </c:rich>
          </c:tx>
          <c:layout>
            <c:manualLayout>
              <c:xMode val="edge"/>
              <c:yMode val="edge"/>
              <c:x val="0.54698045294673758"/>
              <c:y val="0.84232539397305639"/>
            </c:manualLayout>
          </c:layout>
          <c:spPr>
            <a:noFill/>
            <a:ln w="25400">
              <a:noFill/>
            </a:ln>
          </c:spPr>
        </c:title>
        <c:numFmt formatCode="mmm\-yy"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802432"/>
        <c:crosses val="autoZero"/>
        <c:lblAlgn val="ctr"/>
        <c:lblOffset val="100"/>
        <c:tickLblSkip val="1"/>
        <c:tickMarkSkip val="1"/>
      </c:catAx>
      <c:valAx>
        <c:axId val="70802432"/>
        <c:scaling>
          <c:orientation val="minMax"/>
          <c:max val="1.05"/>
          <c:min val="0.55000000000000004"/>
        </c:scaling>
        <c:axPos val="l"/>
        <c:title>
          <c:tx>
            <c:rich>
              <a:bodyPr/>
              <a:lstStyle/>
              <a:p>
                <a:pPr>
                  <a:defRPr sz="1000" b="1" i="0" u="none" strike="noStrike" baseline="0">
                    <a:solidFill>
                      <a:srgbClr val="000000"/>
                    </a:solidFill>
                    <a:latin typeface="Arial"/>
                    <a:ea typeface="Arial"/>
                    <a:cs typeface="Arial"/>
                  </a:defRPr>
                </a:pPr>
                <a:r>
                  <a:rPr lang="en-US"/>
                  <a:t>% Achieved</a:t>
                </a:r>
              </a:p>
            </c:rich>
          </c:tx>
          <c:layout>
            <c:manualLayout>
              <c:xMode val="edge"/>
              <c:yMode val="edge"/>
              <c:x val="1.7897091722595078E-2"/>
              <c:y val="0.12863114102438439"/>
            </c:manualLayout>
          </c:layout>
          <c:spPr>
            <a:noFill/>
            <a:ln w="25400">
              <a:noFill/>
            </a:ln>
          </c:spPr>
        </c:title>
        <c:numFmt formatCode="0.0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800512"/>
        <c:crosses val="autoZero"/>
        <c:crossBetween val="between"/>
        <c:majorUnit val="0.1"/>
      </c:valAx>
      <c:catAx>
        <c:axId val="70812800"/>
        <c:scaling>
          <c:orientation val="minMax"/>
        </c:scaling>
        <c:delete val="1"/>
        <c:axPos val="b"/>
        <c:numFmt formatCode="mmm\-yy" sourceLinked="1"/>
        <c:tickLblPos val="none"/>
        <c:crossAx val="70814336"/>
        <c:crosses val="autoZero"/>
        <c:lblAlgn val="ctr"/>
        <c:lblOffset val="100"/>
      </c:catAx>
      <c:valAx>
        <c:axId val="70814336"/>
        <c:scaling>
          <c:orientation val="minMax"/>
        </c:scaling>
        <c:delete val="1"/>
        <c:axPos val="l"/>
        <c:numFmt formatCode="0%" sourceLinked="1"/>
        <c:tickLblPos val="none"/>
        <c:crossAx val="70812800"/>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200" b="1" i="0" u="none" strike="noStrike" baseline="0">
                <a:solidFill>
                  <a:srgbClr val="000000"/>
                </a:solidFill>
                <a:latin typeface="Arial"/>
                <a:ea typeface="Arial"/>
                <a:cs typeface="Arial"/>
              </a:defRPr>
            </a:pPr>
            <a:r>
              <a:rPr lang="en-GB"/>
              <a:t>Total Debtors</a:t>
            </a:r>
          </a:p>
        </c:rich>
      </c:tx>
      <c:layout>
        <c:manualLayout>
          <c:xMode val="edge"/>
          <c:yMode val="edge"/>
          <c:x val="0.44777550066515653"/>
          <c:y val="1.8077680193821926E-2"/>
        </c:manualLayout>
      </c:layout>
      <c:spPr>
        <a:noFill/>
        <a:ln w="25400">
          <a:noFill/>
        </a:ln>
      </c:spPr>
    </c:title>
    <c:view3D>
      <c:perspective val="0"/>
    </c:view3D>
    <c:plotArea>
      <c:layout>
        <c:manualLayout>
          <c:layoutTarget val="inner"/>
          <c:xMode val="edge"/>
          <c:yMode val="edge"/>
          <c:x val="0.20889348500517077"/>
          <c:y val="0.35593220338983089"/>
          <c:w val="0.58221302998965796"/>
          <c:h val="0.37796610169491562"/>
        </c:manualLayout>
      </c:layout>
      <c:pie3D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Lbls>
            <c:dLbl>
              <c:idx val="0"/>
              <c:tx>
                <c:rich>
                  <a:bodyPr/>
                  <a:lstStyle/>
                  <a:p>
                    <a:pPr>
                      <a:defRPr sz="1000" b="0" i="0" u="none" strike="noStrike" baseline="0">
                        <a:solidFill>
                          <a:srgbClr val="000000"/>
                        </a:solidFill>
                        <a:latin typeface="Arial"/>
                        <a:ea typeface="Arial"/>
                        <a:cs typeface="Arial"/>
                      </a:defRPr>
                    </a:pPr>
                    <a:r>
                      <a:rPr lang="en-GB"/>
                      <a:t>0-30 days, 27%
</a:t>
                    </a:r>
                  </a:p>
                </c:rich>
              </c:tx>
              <c:spPr>
                <a:noFill/>
                <a:ln w="25400">
                  <a:noFill/>
                </a:ln>
              </c:spPr>
              <c:showLegendKey val="1"/>
            </c:dLbl>
            <c:dLbl>
              <c:idx val="1"/>
              <c:tx>
                <c:rich>
                  <a:bodyPr/>
                  <a:lstStyle/>
                  <a:p>
                    <a:pPr>
                      <a:defRPr sz="1000" b="0" i="0" u="none" strike="noStrike" baseline="0">
                        <a:solidFill>
                          <a:srgbClr val="000000"/>
                        </a:solidFill>
                        <a:latin typeface="Arial"/>
                        <a:ea typeface="Arial"/>
                        <a:cs typeface="Arial"/>
                      </a:defRPr>
                    </a:pPr>
                    <a:r>
                      <a:rPr lang="en-GB"/>
                      <a:t>31-90 days, 17%</a:t>
                    </a:r>
                  </a:p>
                </c:rich>
              </c:tx>
              <c:spPr>
                <a:noFill/>
                <a:ln w="25400">
                  <a:noFill/>
                </a:ln>
              </c:spPr>
              <c:showLegendKey val="1"/>
            </c:dLbl>
            <c:dLbl>
              <c:idx val="2"/>
              <c:tx>
                <c:rich>
                  <a:bodyPr/>
                  <a:lstStyle/>
                  <a:p>
                    <a:pPr>
                      <a:defRPr sz="1000" b="0" i="0" u="none" strike="noStrike" baseline="0">
                        <a:solidFill>
                          <a:srgbClr val="000000"/>
                        </a:solidFill>
                        <a:latin typeface="Arial"/>
                        <a:ea typeface="Arial"/>
                        <a:cs typeface="Arial"/>
                      </a:defRPr>
                    </a:pPr>
                    <a:r>
                      <a:rPr lang="en-GB"/>
                      <a:t>90+ days, 56%</a:t>
                    </a:r>
                  </a:p>
                </c:rich>
              </c:tx>
              <c:spPr>
                <a:noFill/>
                <a:ln w="25400">
                  <a:noFill/>
                </a:ln>
              </c:spPr>
              <c:showLegendKey val="1"/>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1"/>
            <c:showSerName val="1"/>
            <c:showPercent val="1"/>
            <c:showLeaderLines val="1"/>
          </c:dLbls>
          <c:val>
            <c:numRef>
              <c:f>'[1]aged debtors'!$C$40:$E$40</c:f>
              <c:numCache>
                <c:formatCode>General</c:formatCode>
                <c:ptCount val="3"/>
                <c:pt idx="0">
                  <c:v>0.14730483271375464</c:v>
                </c:pt>
                <c:pt idx="1">
                  <c:v>8.6586121437422559E-2</c:v>
                </c:pt>
                <c:pt idx="2">
                  <c:v>0.76610904584882278</c:v>
                </c:pt>
              </c:numCache>
            </c:numRef>
          </c:val>
        </c:ser>
        <c:dLbls>
          <c:showLegendKey val="1"/>
          <c:showSerName val="1"/>
          <c:showPercent val="1"/>
        </c:dLbls>
      </c:pie3DChart>
      <c:spPr>
        <a:noFill/>
        <a:ln w="25400">
          <a:noFill/>
        </a:ln>
      </c:spPr>
    </c:plotArea>
    <c:plotVisOnly val="1"/>
    <c:dispBlanksAs val="zero"/>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00" b="1" i="0" u="none" strike="noStrike" baseline="0">
                <a:solidFill>
                  <a:srgbClr val="000000"/>
                </a:solidFill>
                <a:latin typeface="Arial"/>
                <a:ea typeface="Arial"/>
                <a:cs typeface="Arial"/>
              </a:defRPr>
            </a:pPr>
            <a:r>
              <a:rPr lang="en-US"/>
              <a:t>% Growth in A&amp;E Attendances 08/09 compared to 09/10</a:t>
            </a:r>
          </a:p>
        </c:rich>
      </c:tx>
      <c:layout/>
      <c:spPr>
        <a:noFill/>
        <a:ln w="25400">
          <a:noFill/>
        </a:ln>
      </c:spPr>
    </c:title>
    <c:plotArea>
      <c:layout/>
      <c:barChart>
        <c:barDir val="col"/>
        <c:grouping val="clustered"/>
        <c:ser>
          <c:idx val="0"/>
          <c:order val="0"/>
          <c:spPr>
            <a:solidFill>
              <a:srgbClr val="9999FF"/>
            </a:solidFill>
            <a:ln w="12700">
              <a:solidFill>
                <a:srgbClr val="000000"/>
              </a:solidFill>
              <a:prstDash val="solid"/>
            </a:ln>
          </c:spPr>
        </c:ser>
        <c:axId val="51643520"/>
        <c:axId val="51645440"/>
      </c:barChart>
      <c:catAx>
        <c:axId val="51643520"/>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645440"/>
        <c:crosses val="autoZero"/>
        <c:auto val="1"/>
        <c:lblAlgn val="ctr"/>
        <c:lblOffset val="100"/>
        <c:tickLblSkip val="1"/>
        <c:tickMarkSkip val="1"/>
      </c:catAx>
      <c:valAx>
        <c:axId val="51645440"/>
        <c:scaling>
          <c:orientation val="minMax"/>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 Growth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643520"/>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00" b="1" i="0" u="none" strike="noStrike" baseline="0">
                <a:solidFill>
                  <a:srgbClr val="000000"/>
                </a:solidFill>
                <a:latin typeface="Arial"/>
                <a:ea typeface="Arial"/>
                <a:cs typeface="Arial"/>
              </a:defRPr>
            </a:pPr>
            <a:r>
              <a:rPr lang="en-US"/>
              <a:t>Acute Actual Spend 2009/10</a:t>
            </a:r>
          </a:p>
        </c:rich>
      </c:tx>
      <c:layout/>
      <c:spPr>
        <a:noFill/>
        <a:ln w="25400">
          <a:noFill/>
        </a:ln>
      </c:spPr>
    </c:title>
    <c:plotArea>
      <c:layout/>
      <c:barChart>
        <c:barDir val="col"/>
        <c:grouping val="clustered"/>
        <c:ser>
          <c:idx val="0"/>
          <c:order val="0"/>
          <c:spPr>
            <a:solidFill>
              <a:srgbClr val="9999FF"/>
            </a:solidFill>
            <a:ln w="12700">
              <a:solidFill>
                <a:srgbClr val="000000"/>
              </a:solidFill>
              <a:prstDash val="solid"/>
            </a:ln>
          </c:spPr>
        </c:ser>
        <c:ser>
          <c:idx val="1"/>
          <c:order val="1"/>
          <c:spPr>
            <a:solidFill>
              <a:srgbClr val="993366"/>
            </a:solidFill>
            <a:ln w="12700">
              <a:solidFill>
                <a:srgbClr val="000000"/>
              </a:solidFill>
              <a:prstDash val="solid"/>
            </a:ln>
          </c:spPr>
        </c:ser>
        <c:axId val="51683712"/>
        <c:axId val="51685632"/>
      </c:barChart>
      <c:catAx>
        <c:axId val="51683712"/>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685632"/>
        <c:crosses val="autoZero"/>
        <c:auto val="1"/>
        <c:lblAlgn val="ctr"/>
        <c:lblOffset val="100"/>
        <c:tickLblSkip val="1"/>
        <c:tickMarkSkip val="1"/>
      </c:catAx>
      <c:valAx>
        <c:axId val="51685632"/>
        <c:scaling>
          <c:orientation val="minMax"/>
          <c:min val="10000"/>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£'000</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683712"/>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GB"/>
  <c:chart>
    <c:title>
      <c:tx>
        <c:rich>
          <a:bodyPr/>
          <a:lstStyle/>
          <a:p>
            <a:pPr>
              <a:defRPr sz="200" b="1" i="0" u="none" strike="noStrike" baseline="0">
                <a:solidFill>
                  <a:srgbClr val="000000"/>
                </a:solidFill>
                <a:latin typeface="Arial"/>
                <a:ea typeface="Arial"/>
                <a:cs typeface="Arial"/>
              </a:defRPr>
            </a:pPr>
            <a:r>
              <a:rPr lang="en-US"/>
              <a:t>Gp Referrals Seen</a:t>
            </a:r>
          </a:p>
        </c:rich>
      </c:tx>
      <c:layout/>
      <c:spPr>
        <a:noFill/>
        <a:ln w="25400">
          <a:noFill/>
        </a:ln>
      </c:spPr>
    </c:title>
    <c:plotArea>
      <c:layout/>
      <c:barChart>
        <c:barDir val="col"/>
        <c:grouping val="clustered"/>
        <c:ser>
          <c:idx val="0"/>
          <c:order val="0"/>
          <c:spPr>
            <a:solidFill>
              <a:srgbClr val="9999FF"/>
            </a:solidFill>
            <a:ln w="12700">
              <a:solidFill>
                <a:srgbClr val="000000"/>
              </a:solidFill>
              <a:prstDash val="solid"/>
            </a:ln>
          </c:spPr>
        </c:ser>
        <c:ser>
          <c:idx val="1"/>
          <c:order val="1"/>
          <c:spPr>
            <a:solidFill>
              <a:srgbClr val="993366"/>
            </a:solidFill>
            <a:ln w="12700">
              <a:solidFill>
                <a:srgbClr val="000000"/>
              </a:solidFill>
              <a:prstDash val="solid"/>
            </a:ln>
          </c:spPr>
        </c:ser>
        <c:axId val="51814400"/>
        <c:axId val="51816320"/>
      </c:barChart>
      <c:catAx>
        <c:axId val="51814400"/>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816320"/>
        <c:crosses val="autoZero"/>
        <c:auto val="1"/>
        <c:lblAlgn val="ctr"/>
        <c:lblOffset val="100"/>
        <c:tickLblSkip val="1"/>
        <c:tickMarkSkip val="1"/>
      </c:catAx>
      <c:valAx>
        <c:axId val="51816320"/>
        <c:scaling>
          <c:orientation val="minMax"/>
          <c:min val="3000"/>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No of Referrals Seen</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814400"/>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00" b="1" i="0" u="none" strike="noStrike" baseline="0">
                <a:solidFill>
                  <a:srgbClr val="000000"/>
                </a:solidFill>
                <a:latin typeface="Arial"/>
                <a:ea typeface="Arial"/>
                <a:cs typeface="Arial"/>
              </a:defRPr>
            </a:pPr>
            <a:r>
              <a:rPr lang="en-US"/>
              <a:t>% Growth in GP Referrals Seen</a:t>
            </a:r>
          </a:p>
        </c:rich>
      </c:tx>
      <c:layout/>
      <c:spPr>
        <a:noFill/>
        <a:ln w="25400">
          <a:noFill/>
        </a:ln>
      </c:spPr>
    </c:title>
    <c:plotArea>
      <c:layout/>
      <c:barChart>
        <c:barDir val="col"/>
        <c:grouping val="clustered"/>
        <c:ser>
          <c:idx val="0"/>
          <c:order val="0"/>
          <c:spPr>
            <a:solidFill>
              <a:srgbClr val="9999FF"/>
            </a:solidFill>
            <a:ln w="12700">
              <a:solidFill>
                <a:srgbClr val="000000"/>
              </a:solidFill>
              <a:prstDash val="solid"/>
            </a:ln>
          </c:spPr>
        </c:ser>
        <c:axId val="51927296"/>
        <c:axId val="51933568"/>
      </c:barChart>
      <c:catAx>
        <c:axId val="51927296"/>
        <c:scaling>
          <c:orientation val="minMax"/>
        </c:scaling>
        <c:axPos val="b"/>
        <c:title>
          <c:tx>
            <c:rich>
              <a:bodyPr/>
              <a:lstStyle/>
              <a:p>
                <a:pPr>
                  <a:defRPr sz="175" b="1" i="0" u="none" strike="noStrike" baseline="0">
                    <a:solidFill>
                      <a:srgbClr val="000000"/>
                    </a:solidFill>
                    <a:latin typeface="Arial"/>
                    <a:ea typeface="Arial"/>
                    <a:cs typeface="Arial"/>
                  </a:defRPr>
                </a:pPr>
                <a:r>
                  <a:rPr lang="en-US"/>
                  <a:t>Month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933568"/>
        <c:crosses val="autoZero"/>
        <c:auto val="1"/>
        <c:lblAlgn val="ctr"/>
        <c:lblOffset val="100"/>
        <c:tickLblSkip val="1"/>
        <c:tickMarkSkip val="1"/>
      </c:catAx>
      <c:valAx>
        <c:axId val="51933568"/>
        <c:scaling>
          <c:orientation val="minMax"/>
        </c:scaling>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en-US"/>
                  <a:t>% Growth</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51927296"/>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Ealing Acute Variance (£'000)</a:t>
            </a:r>
          </a:p>
        </c:rich>
      </c:tx>
      <c:layout>
        <c:manualLayout>
          <c:xMode val="edge"/>
          <c:yMode val="edge"/>
          <c:x val="0.29166748687664057"/>
          <c:y val="3.7800687285223393E-2"/>
        </c:manualLayout>
      </c:layout>
      <c:spPr>
        <a:noFill/>
        <a:ln w="25400">
          <a:noFill/>
        </a:ln>
      </c:spPr>
    </c:title>
    <c:plotArea>
      <c:layout>
        <c:manualLayout>
          <c:layoutTarget val="inner"/>
          <c:xMode val="edge"/>
          <c:yMode val="edge"/>
          <c:x val="0.15364622407588724"/>
          <c:y val="0.19587694600027519"/>
          <c:w val="0.65625166893429832"/>
          <c:h val="0.72165190631680398"/>
        </c:manualLayout>
      </c:layout>
      <c:barChart>
        <c:barDir val="col"/>
        <c:grouping val="clustered"/>
        <c:ser>
          <c:idx val="0"/>
          <c:order val="0"/>
          <c:tx>
            <c:strRef>
              <c:f>'Data lookup'!$B$3</c:f>
              <c:strCache>
                <c:ptCount val="1"/>
                <c:pt idx="0">
                  <c:v>EHT</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lookup'!$B$4</c:f>
              <c:numCache>
                <c:formatCode>General</c:formatCode>
                <c:ptCount val="1"/>
                <c:pt idx="0">
                  <c:v>-1250</c:v>
                </c:pt>
              </c:numCache>
            </c:numRef>
          </c:val>
        </c:ser>
        <c:ser>
          <c:idx val="7"/>
          <c:order val="1"/>
          <c:tx>
            <c:strRef>
              <c:f>'Data lookup'!$C$3</c:f>
              <c:strCache>
                <c:ptCount val="1"/>
                <c:pt idx="0">
                  <c:v>THH</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lookup'!$C$4</c:f>
              <c:numCache>
                <c:formatCode>General</c:formatCode>
                <c:ptCount val="1"/>
                <c:pt idx="0">
                  <c:v>-466</c:v>
                </c:pt>
              </c:numCache>
            </c:numRef>
          </c:val>
        </c:ser>
        <c:ser>
          <c:idx val="6"/>
          <c:order val="2"/>
          <c:tx>
            <c:strRef>
              <c:f>'Data lookup'!$D$3</c:f>
              <c:strCache>
                <c:ptCount val="1"/>
                <c:pt idx="0">
                  <c:v>West Mid</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lookup'!$D$4</c:f>
              <c:numCache>
                <c:formatCode>General</c:formatCode>
                <c:ptCount val="1"/>
                <c:pt idx="0">
                  <c:v>-439</c:v>
                </c:pt>
              </c:numCache>
            </c:numRef>
          </c:val>
        </c:ser>
        <c:ser>
          <c:idx val="1"/>
          <c:order val="3"/>
          <c:tx>
            <c:strRef>
              <c:f>'Data lookup'!$E$3</c:f>
              <c:strCache>
                <c:ptCount val="1"/>
                <c:pt idx="0">
                  <c:v>RBH</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lookup'!$E$4</c:f>
              <c:numCache>
                <c:formatCode>General</c:formatCode>
                <c:ptCount val="1"/>
                <c:pt idx="0">
                  <c:v>-156</c:v>
                </c:pt>
              </c:numCache>
            </c:numRef>
          </c:val>
        </c:ser>
        <c:ser>
          <c:idx val="2"/>
          <c:order val="4"/>
          <c:tx>
            <c:strRef>
              <c:f>'Data lookup'!$F$3</c:f>
              <c:strCache>
                <c:ptCount val="1"/>
                <c:pt idx="0">
                  <c:v>Other</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lookup'!$F$4</c:f>
              <c:numCache>
                <c:formatCode>General</c:formatCode>
                <c:ptCount val="1"/>
                <c:pt idx="0">
                  <c:v>-840</c:v>
                </c:pt>
              </c:numCache>
            </c:numRef>
          </c:val>
        </c:ser>
        <c:ser>
          <c:idx val="3"/>
          <c:order val="5"/>
          <c:tx>
            <c:strRef>
              <c:f>'Data lookup'!$G$3</c:f>
              <c:strCache>
                <c:ptCount val="1"/>
                <c:pt idx="0">
                  <c:v>Total</c:v>
                </c:pt>
              </c:strCache>
            </c:strRef>
          </c:tx>
          <c:spPr>
            <a:solidFill>
              <a:srgbClr val="CC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lookup'!$G$4</c:f>
              <c:numCache>
                <c:formatCode>General</c:formatCode>
                <c:ptCount val="1"/>
                <c:pt idx="0">
                  <c:v>-3151</c:v>
                </c:pt>
              </c:numCache>
            </c:numRef>
          </c:val>
        </c:ser>
        <c:axId val="52037888"/>
        <c:axId val="52060160"/>
      </c:barChart>
      <c:catAx>
        <c:axId val="52037888"/>
        <c:scaling>
          <c:orientation val="minMax"/>
        </c:scaling>
        <c:axPos val="b"/>
        <c:tickLblPos val="none"/>
        <c:spPr>
          <a:ln w="9525">
            <a:noFill/>
          </a:ln>
        </c:spPr>
        <c:crossAx val="52060160"/>
        <c:crosses val="autoZero"/>
        <c:auto val="1"/>
        <c:lblAlgn val="ctr"/>
        <c:lblOffset val="100"/>
        <c:tickMarkSkip val="1"/>
      </c:catAx>
      <c:valAx>
        <c:axId val="5206016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037888"/>
        <c:crosses val="autoZero"/>
        <c:crossBetween val="between"/>
      </c:valAx>
      <c:spPr>
        <a:solidFill>
          <a:srgbClr val="FFFFFF"/>
        </a:solidFill>
        <a:ln w="3175">
          <a:solidFill>
            <a:srgbClr val="000000"/>
          </a:solidFill>
          <a:prstDash val="solid"/>
        </a:ln>
      </c:spPr>
    </c:plotArea>
    <c:legend>
      <c:legendPos val="r"/>
      <c:layout>
        <c:manualLayout>
          <c:xMode val="edge"/>
          <c:yMode val="edge"/>
          <c:x val="0.83854385389326358"/>
          <c:y val="0.36082582460697582"/>
          <c:w val="0.14062527340332454"/>
          <c:h val="0.3951904465550054"/>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Hillingdon Acute Variance (£'000)</a:t>
            </a:r>
          </a:p>
        </c:rich>
      </c:tx>
      <c:layout>
        <c:manualLayout>
          <c:xMode val="edge"/>
          <c:yMode val="edge"/>
          <c:x val="0.264935337628251"/>
          <c:y val="3.7671232876712361E-2"/>
        </c:manualLayout>
      </c:layout>
      <c:spPr>
        <a:noFill/>
        <a:ln w="25400">
          <a:noFill/>
        </a:ln>
      </c:spPr>
    </c:title>
    <c:plotArea>
      <c:layout>
        <c:manualLayout>
          <c:layoutTarget val="inner"/>
          <c:xMode val="edge"/>
          <c:yMode val="edge"/>
          <c:x val="0.15324694760418484"/>
          <c:y val="0.19520580587443473"/>
          <c:w val="0.657143690573878"/>
          <c:h val="0.72260394806150363"/>
        </c:manualLayout>
      </c:layout>
      <c:barChart>
        <c:barDir val="col"/>
        <c:grouping val="clustered"/>
        <c:ser>
          <c:idx val="0"/>
          <c:order val="0"/>
          <c:tx>
            <c:strRef>
              <c:f>'Data lookup'!$B$19</c:f>
              <c:strCache>
                <c:ptCount val="1"/>
                <c:pt idx="0">
                  <c:v>UCL</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lookup'!$B$20</c:f>
              <c:numCache>
                <c:formatCode>General</c:formatCode>
                <c:ptCount val="1"/>
                <c:pt idx="0">
                  <c:v>-437</c:v>
                </c:pt>
              </c:numCache>
            </c:numRef>
          </c:val>
        </c:ser>
        <c:ser>
          <c:idx val="7"/>
          <c:order val="1"/>
          <c:tx>
            <c:strRef>
              <c:f>'Data lookup'!$C$19</c:f>
              <c:strCache>
                <c:ptCount val="1"/>
                <c:pt idx="0">
                  <c:v>Barts </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lookup'!$C$20</c:f>
              <c:numCache>
                <c:formatCode>General</c:formatCode>
                <c:ptCount val="1"/>
                <c:pt idx="0">
                  <c:v>-167</c:v>
                </c:pt>
              </c:numCache>
            </c:numRef>
          </c:val>
        </c:ser>
        <c:ser>
          <c:idx val="6"/>
          <c:order val="2"/>
          <c:tx>
            <c:strRef>
              <c:f>'Data lookup'!$D$19</c:f>
              <c:strCache>
                <c:ptCount val="1"/>
                <c:pt idx="0">
                  <c:v>E&amp;N Herts</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lookup'!$D$20</c:f>
              <c:numCache>
                <c:formatCode>General</c:formatCode>
                <c:ptCount val="1"/>
                <c:pt idx="0">
                  <c:v>-152</c:v>
                </c:pt>
              </c:numCache>
            </c:numRef>
          </c:val>
        </c:ser>
        <c:ser>
          <c:idx val="1"/>
          <c:order val="3"/>
          <c:tx>
            <c:strRef>
              <c:f>'Data lookup'!$E$19</c:f>
              <c:strCache>
                <c:ptCount val="1"/>
                <c:pt idx="0">
                  <c:v>H&amp;W</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lookup'!$E$20</c:f>
              <c:numCache>
                <c:formatCode>General</c:formatCode>
                <c:ptCount val="1"/>
                <c:pt idx="0">
                  <c:v>-129</c:v>
                </c:pt>
              </c:numCache>
            </c:numRef>
          </c:val>
        </c:ser>
        <c:ser>
          <c:idx val="2"/>
          <c:order val="4"/>
          <c:tx>
            <c:strRef>
              <c:f>'Data lookup'!$F$19</c:f>
              <c:strCache>
                <c:ptCount val="1"/>
                <c:pt idx="0">
                  <c:v>Other</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lookup'!$F$20</c:f>
              <c:numCache>
                <c:formatCode>General</c:formatCode>
                <c:ptCount val="1"/>
                <c:pt idx="0">
                  <c:v>68</c:v>
                </c:pt>
              </c:numCache>
            </c:numRef>
          </c:val>
        </c:ser>
        <c:ser>
          <c:idx val="3"/>
          <c:order val="5"/>
          <c:tx>
            <c:strRef>
              <c:f>'Data lookup'!$G$19</c:f>
              <c:strCache>
                <c:ptCount val="1"/>
                <c:pt idx="0">
                  <c:v>Total</c:v>
                </c:pt>
              </c:strCache>
            </c:strRef>
          </c:tx>
          <c:spPr>
            <a:solidFill>
              <a:srgbClr val="CC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lookup'!$G$20</c:f>
              <c:numCache>
                <c:formatCode>General</c:formatCode>
                <c:ptCount val="1"/>
                <c:pt idx="0">
                  <c:v>-817</c:v>
                </c:pt>
              </c:numCache>
            </c:numRef>
          </c:val>
        </c:ser>
        <c:axId val="52115328"/>
        <c:axId val="52116864"/>
      </c:barChart>
      <c:catAx>
        <c:axId val="52115328"/>
        <c:scaling>
          <c:orientation val="minMax"/>
        </c:scaling>
        <c:axPos val="b"/>
        <c:tickLblPos val="none"/>
        <c:spPr>
          <a:ln w="9525">
            <a:noFill/>
          </a:ln>
        </c:spPr>
        <c:crossAx val="52116864"/>
        <c:crosses val="autoZero"/>
        <c:auto val="1"/>
        <c:lblAlgn val="ctr"/>
        <c:lblOffset val="100"/>
        <c:tickMarkSkip val="1"/>
      </c:catAx>
      <c:valAx>
        <c:axId val="5211686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115328"/>
        <c:crosses val="autoZero"/>
        <c:crossBetween val="between"/>
      </c:valAx>
      <c:spPr>
        <a:solidFill>
          <a:srgbClr val="FFFFFF"/>
        </a:solidFill>
        <a:ln w="3175">
          <a:solidFill>
            <a:srgbClr val="000000"/>
          </a:solidFill>
          <a:prstDash val="solid"/>
        </a:ln>
      </c:spPr>
    </c:plotArea>
    <c:legend>
      <c:legendPos val="r"/>
      <c:layout>
        <c:manualLayout>
          <c:xMode val="edge"/>
          <c:yMode val="edge"/>
          <c:x val="0.83896212973378326"/>
          <c:y val="0.35958976018408678"/>
          <c:w val="0.14026001295292642"/>
          <c:h val="0.39383633552655245"/>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US"/>
              <a:t>Hounslow Acute Variance (£'000)</a:t>
            </a:r>
          </a:p>
        </c:rich>
      </c:tx>
      <c:layout>
        <c:manualLayout>
          <c:xMode val="edge"/>
          <c:yMode val="edge"/>
          <c:x val="0.26424870466321243"/>
          <c:y val="3.7542662116040973E-2"/>
        </c:manualLayout>
      </c:layout>
      <c:spPr>
        <a:noFill/>
        <a:ln w="25400">
          <a:noFill/>
        </a:ln>
      </c:spPr>
    </c:title>
    <c:plotArea>
      <c:layout>
        <c:manualLayout>
          <c:layoutTarget val="inner"/>
          <c:xMode val="edge"/>
          <c:yMode val="edge"/>
          <c:x val="0.15284974093264256"/>
          <c:y val="0.19453924914675771"/>
          <c:w val="0.65803108808290167"/>
          <c:h val="0.72354948805460761"/>
        </c:manualLayout>
      </c:layout>
      <c:barChart>
        <c:barDir val="col"/>
        <c:grouping val="clustered"/>
        <c:ser>
          <c:idx val="0"/>
          <c:order val="0"/>
          <c:tx>
            <c:strRef>
              <c:f>'Data lookup'!$B$35</c:f>
              <c:strCache>
                <c:ptCount val="1"/>
                <c:pt idx="0">
                  <c:v>RNOH</c:v>
                </c:pt>
              </c:strCache>
            </c:strRef>
          </c:tx>
          <c:spPr>
            <a:solidFill>
              <a:srgbClr val="FFFF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lookup'!$B$36</c:f>
              <c:numCache>
                <c:formatCode>General</c:formatCode>
                <c:ptCount val="1"/>
                <c:pt idx="0">
                  <c:v>-190</c:v>
                </c:pt>
              </c:numCache>
            </c:numRef>
          </c:val>
        </c:ser>
        <c:ser>
          <c:idx val="7"/>
          <c:order val="1"/>
          <c:tx>
            <c:strRef>
              <c:f>'Data lookup'!$C$35</c:f>
              <c:strCache>
                <c:ptCount val="1"/>
                <c:pt idx="0">
                  <c:v>GOSH</c:v>
                </c:pt>
              </c:strCache>
            </c:strRef>
          </c:tx>
          <c:spPr>
            <a:solidFill>
              <a:srgbClr val="33CC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lookup'!$C$36</c:f>
              <c:numCache>
                <c:formatCode>General</c:formatCode>
                <c:ptCount val="1"/>
                <c:pt idx="0">
                  <c:v>-150</c:v>
                </c:pt>
              </c:numCache>
            </c:numRef>
          </c:val>
        </c:ser>
        <c:ser>
          <c:idx val="6"/>
          <c:order val="2"/>
          <c:tx>
            <c:strRef>
              <c:f>'Data lookup'!$D$35</c:f>
              <c:strCache>
                <c:ptCount val="1"/>
                <c:pt idx="0">
                  <c:v>Kings</c:v>
                </c:pt>
              </c:strCache>
            </c:strRef>
          </c:tx>
          <c:spPr>
            <a:solidFill>
              <a:srgbClr val="0066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lookup'!$D$36</c:f>
              <c:numCache>
                <c:formatCode>General</c:formatCode>
                <c:ptCount val="1"/>
                <c:pt idx="0">
                  <c:v>-111</c:v>
                </c:pt>
              </c:numCache>
            </c:numRef>
          </c:val>
        </c:ser>
        <c:ser>
          <c:idx val="1"/>
          <c:order val="3"/>
          <c:tx>
            <c:strRef>
              <c:f>'Data lookup'!$E$35</c:f>
              <c:strCache>
                <c:ptCount val="1"/>
                <c:pt idx="0">
                  <c:v>St Georges </c:v>
                </c:pt>
              </c:strCache>
            </c:strRef>
          </c:tx>
          <c:spPr>
            <a:solidFill>
              <a:srgbClr val="993366"/>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lookup'!$E$36</c:f>
              <c:numCache>
                <c:formatCode>General</c:formatCode>
                <c:ptCount val="1"/>
                <c:pt idx="0">
                  <c:v>-92</c:v>
                </c:pt>
              </c:numCache>
            </c:numRef>
          </c:val>
        </c:ser>
        <c:ser>
          <c:idx val="2"/>
          <c:order val="4"/>
          <c:tx>
            <c:strRef>
              <c:f>'Data lookup'!$F$35</c:f>
              <c:strCache>
                <c:ptCount val="1"/>
                <c:pt idx="0">
                  <c:v>Other</c:v>
                </c:pt>
              </c:strCache>
            </c:strRef>
          </c:tx>
          <c:spPr>
            <a:solidFill>
              <a:srgbClr val="FFFFCC"/>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lookup'!$F$36</c:f>
              <c:numCache>
                <c:formatCode>General</c:formatCode>
                <c:ptCount val="1"/>
                <c:pt idx="0">
                  <c:v>1356</c:v>
                </c:pt>
              </c:numCache>
            </c:numRef>
          </c:val>
        </c:ser>
        <c:ser>
          <c:idx val="3"/>
          <c:order val="5"/>
          <c:tx>
            <c:strRef>
              <c:f>'Data lookup'!$G$35</c:f>
              <c:strCache>
                <c:ptCount val="1"/>
                <c:pt idx="0">
                  <c:v>Total</c:v>
                </c:pt>
              </c:strCache>
            </c:strRef>
          </c:tx>
          <c:spPr>
            <a:solidFill>
              <a:srgbClr val="CC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Val val="1"/>
          </c:dLbls>
          <c:val>
            <c:numRef>
              <c:f>'Data lookup'!$G$36</c:f>
              <c:numCache>
                <c:formatCode>General</c:formatCode>
                <c:ptCount val="1"/>
                <c:pt idx="0">
                  <c:v>813</c:v>
                </c:pt>
              </c:numCache>
            </c:numRef>
          </c:val>
        </c:ser>
        <c:axId val="52286976"/>
        <c:axId val="52288512"/>
      </c:barChart>
      <c:catAx>
        <c:axId val="52286976"/>
        <c:scaling>
          <c:orientation val="minMax"/>
        </c:scaling>
        <c:axPos val="b"/>
        <c:tickLblPos val="none"/>
        <c:spPr>
          <a:ln w="9525">
            <a:noFill/>
          </a:ln>
        </c:spPr>
        <c:crossAx val="52288512"/>
        <c:crosses val="autoZero"/>
        <c:auto val="1"/>
        <c:lblAlgn val="ctr"/>
        <c:lblOffset val="100"/>
        <c:tickMarkSkip val="1"/>
      </c:catAx>
      <c:valAx>
        <c:axId val="5228851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86976"/>
        <c:crosses val="autoZero"/>
        <c:crossBetween val="between"/>
      </c:valAx>
      <c:spPr>
        <a:solidFill>
          <a:srgbClr val="FFFFFF"/>
        </a:solidFill>
        <a:ln w="3175">
          <a:solidFill>
            <a:srgbClr val="000000"/>
          </a:solidFill>
          <a:prstDash val="solid"/>
        </a:ln>
      </c:spPr>
    </c:plotArea>
    <c:legend>
      <c:legendPos val="r"/>
      <c:layout>
        <c:manualLayout>
          <c:xMode val="edge"/>
          <c:yMode val="edge"/>
          <c:x val="0.8393782383419689"/>
          <c:y val="0.36177474402730381"/>
          <c:w val="0.13989637305699495"/>
          <c:h val="0.3924914675767918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17</xdr:col>
      <xdr:colOff>0</xdr:colOff>
      <xdr:row>34</xdr:row>
      <xdr:rowOff>0</xdr:rowOff>
    </xdr:to>
    <xdr:graphicFrame macro="">
      <xdr:nvGraphicFramePr>
        <xdr:cNvPr id="20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133350</xdr:colOff>
      <xdr:row>15</xdr:row>
      <xdr:rowOff>19050</xdr:rowOff>
    </xdr:from>
    <xdr:to>
      <xdr:col>12</xdr:col>
      <xdr:colOff>76200</xdr:colOff>
      <xdr:row>39</xdr:row>
      <xdr:rowOff>76200</xdr:rowOff>
    </xdr:to>
    <xdr:graphicFrame macro="">
      <xdr:nvGraphicFramePr>
        <xdr:cNvPr id="51201"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285750</xdr:colOff>
      <xdr:row>0</xdr:row>
      <xdr:rowOff>57150</xdr:rowOff>
    </xdr:from>
    <xdr:to>
      <xdr:col>5</xdr:col>
      <xdr:colOff>514350</xdr:colOff>
      <xdr:row>4</xdr:row>
      <xdr:rowOff>114300</xdr:rowOff>
    </xdr:to>
    <xdr:pic>
      <xdr:nvPicPr>
        <xdr:cNvPr id="5121" name="Picture 2" descr="903447474&amp;LogID=15518&amp;entityId=9495&amp;versionedFileId=0&amp;sid=0"/>
        <xdr:cNvPicPr>
          <a:picLocks noChangeAspect="1" noChangeArrowheads="1"/>
        </xdr:cNvPicPr>
      </xdr:nvPicPr>
      <xdr:blipFill>
        <a:blip xmlns:r="http://schemas.openxmlformats.org/officeDocument/2006/relationships" r:embed="rId1" cstate="print"/>
        <a:srcRect/>
        <a:stretch>
          <a:fillRect/>
        </a:stretch>
      </xdr:blipFill>
      <xdr:spPr bwMode="auto">
        <a:xfrm>
          <a:off x="9115425" y="57150"/>
          <a:ext cx="1543050"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0</xdr:colOff>
      <xdr:row>5</xdr:row>
      <xdr:rowOff>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5</xdr:row>
      <xdr:rowOff>0</xdr:rowOff>
    </xdr:from>
    <xdr:to>
      <xdr:col>13</xdr:col>
      <xdr:colOff>695325</xdr:colOff>
      <xdr:row>5</xdr:row>
      <xdr:rowOff>0</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xdr:row>
      <xdr:rowOff>0</xdr:rowOff>
    </xdr:from>
    <xdr:to>
      <xdr:col>14</xdr:col>
      <xdr:colOff>0</xdr:colOff>
      <xdr:row>5</xdr:row>
      <xdr:rowOff>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xdr:row>
      <xdr:rowOff>0</xdr:rowOff>
    </xdr:from>
    <xdr:to>
      <xdr:col>8</xdr:col>
      <xdr:colOff>609600</xdr:colOff>
      <xdr:row>5</xdr:row>
      <xdr:rowOff>0</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238125</xdr:colOff>
      <xdr:row>5</xdr:row>
      <xdr:rowOff>0</xdr:rowOff>
    </xdr:from>
    <xdr:to>
      <xdr:col>14</xdr:col>
      <xdr:colOff>0</xdr:colOff>
      <xdr:row>5</xdr:row>
      <xdr:rowOff>0</xdr:rowOff>
    </xdr:to>
    <xdr:graphicFrame macro="">
      <xdr:nvGraphicFramePr>
        <xdr:cNvPr id="614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0</xdr:colOff>
      <xdr:row>22</xdr:row>
      <xdr:rowOff>0</xdr:rowOff>
    </xdr:to>
    <xdr:graphicFrame macro="">
      <xdr:nvGraphicFramePr>
        <xdr:cNvPr id="12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13</xdr:col>
      <xdr:colOff>9525</xdr:colOff>
      <xdr:row>22</xdr:row>
      <xdr:rowOff>9525</xdr:rowOff>
    </xdr:to>
    <xdr:graphicFrame macro="">
      <xdr:nvGraphicFramePr>
        <xdr:cNvPr id="1229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5</xdr:row>
      <xdr:rowOff>0</xdr:rowOff>
    </xdr:from>
    <xdr:to>
      <xdr:col>20</xdr:col>
      <xdr:colOff>19050</xdr:colOff>
      <xdr:row>22</xdr:row>
      <xdr:rowOff>19050</xdr:rowOff>
    </xdr:to>
    <xdr:graphicFrame macro="">
      <xdr:nvGraphicFramePr>
        <xdr:cNvPr id="1229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0</xdr:colOff>
      <xdr:row>22</xdr:row>
      <xdr:rowOff>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13</xdr:col>
      <xdr:colOff>9525</xdr:colOff>
      <xdr:row>22</xdr:row>
      <xdr:rowOff>9525</xdr:rowOff>
    </xdr:to>
    <xdr:graphicFrame macro="">
      <xdr:nvGraphicFramePr>
        <xdr:cNvPr id="3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5</xdr:row>
      <xdr:rowOff>0</xdr:rowOff>
    </xdr:from>
    <xdr:to>
      <xdr:col>20</xdr:col>
      <xdr:colOff>19050</xdr:colOff>
      <xdr:row>22</xdr:row>
      <xdr:rowOff>19050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0</xdr:colOff>
      <xdr:row>22</xdr:row>
      <xdr:rowOff>0</xdr:rowOff>
    </xdr:to>
    <xdr:graphicFrame macro="">
      <xdr:nvGraphicFramePr>
        <xdr:cNvPr id="194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13</xdr:col>
      <xdr:colOff>9525</xdr:colOff>
      <xdr:row>22</xdr:row>
      <xdr:rowOff>9525</xdr:rowOff>
    </xdr:to>
    <xdr:graphicFrame macro="">
      <xdr:nvGraphicFramePr>
        <xdr:cNvPr id="194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5</xdr:row>
      <xdr:rowOff>0</xdr:rowOff>
    </xdr:from>
    <xdr:to>
      <xdr:col>20</xdr:col>
      <xdr:colOff>19050</xdr:colOff>
      <xdr:row>22</xdr:row>
      <xdr:rowOff>19050</xdr:rowOff>
    </xdr:to>
    <xdr:graphicFrame macro="">
      <xdr:nvGraphicFramePr>
        <xdr:cNvPr id="194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0</xdr:colOff>
      <xdr:row>22</xdr:row>
      <xdr:rowOff>0</xdr:rowOff>
    </xdr:to>
    <xdr:graphicFrame macro="">
      <xdr:nvGraphicFramePr>
        <xdr:cNvPr id="235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13</xdr:col>
      <xdr:colOff>9525</xdr:colOff>
      <xdr:row>22</xdr:row>
      <xdr:rowOff>9525</xdr:rowOff>
    </xdr:to>
    <xdr:graphicFrame macro="">
      <xdr:nvGraphicFramePr>
        <xdr:cNvPr id="235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5</xdr:row>
      <xdr:rowOff>0</xdr:rowOff>
    </xdr:from>
    <xdr:to>
      <xdr:col>20</xdr:col>
      <xdr:colOff>19050</xdr:colOff>
      <xdr:row>22</xdr:row>
      <xdr:rowOff>19050</xdr:rowOff>
    </xdr:to>
    <xdr:graphicFrame macro="">
      <xdr:nvGraphicFramePr>
        <xdr:cNvPr id="235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18</xdr:row>
      <xdr:rowOff>133350</xdr:rowOff>
    </xdr:from>
    <xdr:to>
      <xdr:col>5</xdr:col>
      <xdr:colOff>9525</xdr:colOff>
      <xdr:row>36</xdr:row>
      <xdr:rowOff>38100</xdr:rowOff>
    </xdr:to>
    <xdr:graphicFrame macro="">
      <xdr:nvGraphicFramePr>
        <xdr:cNvPr id="399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18</xdr:row>
      <xdr:rowOff>152400</xdr:rowOff>
    </xdr:from>
    <xdr:to>
      <xdr:col>11</xdr:col>
      <xdr:colOff>0</xdr:colOff>
      <xdr:row>36</xdr:row>
      <xdr:rowOff>38100</xdr:rowOff>
    </xdr:to>
    <xdr:graphicFrame macro="">
      <xdr:nvGraphicFramePr>
        <xdr:cNvPr id="399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28575</xdr:colOff>
      <xdr:row>19</xdr:row>
      <xdr:rowOff>28575</xdr:rowOff>
    </xdr:from>
    <xdr:to>
      <xdr:col>17</xdr:col>
      <xdr:colOff>0</xdr:colOff>
      <xdr:row>36</xdr:row>
      <xdr:rowOff>38100</xdr:rowOff>
    </xdr:to>
    <xdr:graphicFrame macro="">
      <xdr:nvGraphicFramePr>
        <xdr:cNvPr id="399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13</xdr:col>
      <xdr:colOff>581025</xdr:colOff>
      <xdr:row>20</xdr:row>
      <xdr:rowOff>0</xdr:rowOff>
    </xdr:to>
    <xdr:graphicFrame macro="">
      <xdr:nvGraphicFramePr>
        <xdr:cNvPr id="4710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0</xdr:rowOff>
    </xdr:from>
    <xdr:to>
      <xdr:col>13</xdr:col>
      <xdr:colOff>590550</xdr:colOff>
      <xdr:row>36</xdr:row>
      <xdr:rowOff>9525</xdr:rowOff>
    </xdr:to>
    <xdr:graphicFrame macro="">
      <xdr:nvGraphicFramePr>
        <xdr:cNvPr id="4710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13</xdr:col>
      <xdr:colOff>590550</xdr:colOff>
      <xdr:row>52</xdr:row>
      <xdr:rowOff>28575</xdr:rowOff>
    </xdr:to>
    <xdr:graphicFrame macro="">
      <xdr:nvGraphicFramePr>
        <xdr:cNvPr id="4710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flann\Desktop\BOARD%20OCT%2011\Alex%20Finance\Documents%20and%20Settings\aforrest\My%20Documents\Copy%20of%20Aged%20Debtors%20m11%2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llingdon PCT Pie"/>
      <sheetName val="aged debtors"/>
    </sheetNames>
    <sheetDataSet>
      <sheetData sheetId="0" refreshError="1"/>
      <sheetData sheetId="1">
        <row r="40">
          <cell r="C40">
            <v>0.14730483271375464</v>
          </cell>
          <cell r="D40">
            <v>8.6586121437422559E-2</v>
          </cell>
          <cell r="E40">
            <v>0.76610904584882278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Sheet1">
    <pageSetUpPr fitToPage="1"/>
  </sheetPr>
  <dimension ref="A1:C29"/>
  <sheetViews>
    <sheetView showGridLines="0" zoomScaleNormal="100" workbookViewId="0"/>
  </sheetViews>
  <sheetFormatPr defaultRowHeight="12.75"/>
  <cols>
    <col min="1" max="1" width="9.140625" style="376"/>
  </cols>
  <sheetData>
    <row r="1" spans="1:3" ht="40.5" customHeight="1">
      <c r="A1" s="434"/>
      <c r="B1" s="1" t="s">
        <v>261</v>
      </c>
    </row>
    <row r="3" spans="1:3">
      <c r="B3" s="124" t="s">
        <v>96</v>
      </c>
    </row>
    <row r="5" spans="1:3">
      <c r="B5">
        <v>1</v>
      </c>
      <c r="C5" t="s">
        <v>97</v>
      </c>
    </row>
    <row r="7" spans="1:3">
      <c r="B7">
        <v>2</v>
      </c>
      <c r="C7" t="s">
        <v>164</v>
      </c>
    </row>
    <row r="9" spans="1:3">
      <c r="B9">
        <v>3</v>
      </c>
      <c r="C9" t="s">
        <v>236</v>
      </c>
    </row>
    <row r="11" spans="1:3">
      <c r="B11">
        <v>4</v>
      </c>
      <c r="C11" t="s">
        <v>9</v>
      </c>
    </row>
    <row r="13" spans="1:3">
      <c r="B13">
        <v>5</v>
      </c>
      <c r="C13" t="s">
        <v>240</v>
      </c>
    </row>
    <row r="15" spans="1:3">
      <c r="B15">
        <v>6</v>
      </c>
      <c r="C15" t="s">
        <v>239</v>
      </c>
    </row>
    <row r="17" spans="2:3">
      <c r="B17">
        <v>7</v>
      </c>
      <c r="C17" t="s">
        <v>98</v>
      </c>
    </row>
    <row r="19" spans="2:3">
      <c r="B19">
        <v>8</v>
      </c>
      <c r="C19" t="s">
        <v>238</v>
      </c>
    </row>
    <row r="21" spans="2:3">
      <c r="B21">
        <v>9</v>
      </c>
      <c r="C21" t="s">
        <v>99</v>
      </c>
    </row>
    <row r="23" spans="2:3">
      <c r="B23">
        <v>10</v>
      </c>
      <c r="C23" t="s">
        <v>100</v>
      </c>
    </row>
    <row r="25" spans="2:3">
      <c r="B25">
        <v>11</v>
      </c>
      <c r="C25" t="s">
        <v>101</v>
      </c>
    </row>
    <row r="27" spans="2:3">
      <c r="B27">
        <v>12</v>
      </c>
      <c r="C27" t="s">
        <v>168</v>
      </c>
    </row>
    <row r="29" spans="2:3">
      <c r="B29">
        <v>13</v>
      </c>
      <c r="C29" t="s">
        <v>191</v>
      </c>
    </row>
  </sheetData>
  <customSheetViews>
    <customSheetView guid="{14394872-1C6D-42D5-AD0E-8F152B5DEE00}" showGridLines="0" fitToPage="1">
      <selection activeCell="B39" sqref="B39"/>
      <pageMargins left="0.75" right="0.75" top="1" bottom="1" header="0.5" footer="0.5"/>
      <pageSetup paperSize="9" orientation="landscape" r:id="rId1"/>
      <headerFooter alignWithMargins="0"/>
    </customSheetView>
  </customSheetViews>
  <phoneticPr fontId="2" type="noConversion"/>
  <pageMargins left="0.75" right="0.75" top="1" bottom="1" header="0.5" footer="0.5"/>
  <pageSetup paperSize="256" orientation="landscape" r:id="rId2"/>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T61"/>
  <sheetViews>
    <sheetView topLeftCell="A10" workbookViewId="0">
      <selection activeCell="F48" sqref="F48"/>
    </sheetView>
  </sheetViews>
  <sheetFormatPr defaultRowHeight="12.75"/>
  <cols>
    <col min="7" max="7" width="1.7109375" customWidth="1"/>
    <col min="14" max="14" width="1.7109375" customWidth="1"/>
  </cols>
  <sheetData>
    <row r="1" spans="1:15">
      <c r="A1" s="1" t="str">
        <f>'1 Key Financial Performance'!A1</f>
        <v>Finance Report Month 6 2011/12 - NHS Ealing, NHS Hillingdon and NHS Hounslow</v>
      </c>
    </row>
    <row r="3" spans="1:15">
      <c r="A3" s="1" t="s">
        <v>241</v>
      </c>
      <c r="H3" s="1"/>
      <c r="M3" s="1"/>
      <c r="O3" s="1"/>
    </row>
    <row r="4" spans="1:15">
      <c r="A4" s="1"/>
      <c r="H4" s="1"/>
    </row>
    <row r="7" spans="1:15" ht="12.75" customHeight="1"/>
    <row r="8" spans="1:15" ht="12.75" customHeight="1"/>
    <row r="9" spans="1:15">
      <c r="A9" t="s">
        <v>163</v>
      </c>
    </row>
    <row r="10" spans="1:15" ht="12.75" customHeight="1"/>
    <row r="12" spans="1:15" ht="14.25" customHeight="1"/>
    <row r="13" spans="1:15" ht="12.75" customHeight="1"/>
    <row r="14" spans="1:15" ht="12.75" customHeight="1">
      <c r="A14" t="s">
        <v>19</v>
      </c>
      <c r="B14" s="13"/>
      <c r="C14" s="13"/>
      <c r="D14" s="13"/>
      <c r="E14" s="13"/>
      <c r="F14" s="13"/>
      <c r="G14" s="13"/>
    </row>
    <row r="15" spans="1:15" ht="12.75" customHeight="1">
      <c r="A15" t="s">
        <v>28</v>
      </c>
      <c r="B15" s="13"/>
      <c r="C15" s="13"/>
      <c r="D15" s="13"/>
      <c r="E15" s="13"/>
      <c r="F15" s="13"/>
      <c r="G15" s="13"/>
    </row>
    <row r="16" spans="1:15" ht="12.75" customHeight="1"/>
    <row r="17" spans="1:20" ht="12.75" customHeight="1"/>
    <row r="18" spans="1:20" ht="12.75" customHeight="1"/>
    <row r="19" spans="1:20" ht="12.75" customHeight="1">
      <c r="A19" s="26"/>
      <c r="B19" s="26"/>
      <c r="C19" s="26"/>
      <c r="D19" s="26"/>
      <c r="E19" s="26"/>
      <c r="F19" s="26"/>
    </row>
    <row r="20" spans="1:20" ht="12.75" customHeight="1">
      <c r="A20" s="26"/>
      <c r="B20" s="26"/>
      <c r="C20" s="26"/>
      <c r="D20" s="26"/>
      <c r="E20" s="26"/>
      <c r="F20" s="26"/>
    </row>
    <row r="21" spans="1:20" ht="12.75" customHeight="1">
      <c r="A21" s="26"/>
      <c r="B21" s="26"/>
      <c r="C21" s="26"/>
      <c r="D21" s="26"/>
      <c r="E21" s="26"/>
      <c r="F21" s="26"/>
    </row>
    <row r="22" spans="1:20" ht="12.75" customHeight="1">
      <c r="A22" s="26"/>
      <c r="B22" s="26"/>
      <c r="C22" s="26"/>
      <c r="D22" s="26"/>
      <c r="E22" s="26"/>
      <c r="F22" s="26"/>
    </row>
    <row r="23" spans="1:20" ht="13.5" customHeight="1">
      <c r="A23" s="32"/>
      <c r="B23" s="32"/>
      <c r="C23" s="32"/>
      <c r="D23" s="32"/>
      <c r="E23" s="32"/>
      <c r="F23" s="32"/>
    </row>
    <row r="24" spans="1:20" ht="12.75" customHeight="1">
      <c r="A24" s="468" t="s">
        <v>42</v>
      </c>
      <c r="B24" s="469"/>
      <c r="C24" s="469"/>
      <c r="D24" s="469"/>
      <c r="E24" s="469"/>
      <c r="F24" s="470"/>
      <c r="H24" s="468" t="s">
        <v>42</v>
      </c>
      <c r="I24" s="469"/>
      <c r="J24" s="469"/>
      <c r="K24" s="469"/>
      <c r="L24" s="469"/>
      <c r="M24" s="470"/>
      <c r="O24" s="468" t="s">
        <v>42</v>
      </c>
      <c r="P24" s="469"/>
      <c r="Q24" s="469"/>
      <c r="R24" s="469"/>
      <c r="S24" s="469"/>
      <c r="T24" s="470"/>
    </row>
    <row r="25" spans="1:20" ht="12.75" customHeight="1">
      <c r="A25" s="482" t="s">
        <v>323</v>
      </c>
      <c r="B25" s="483"/>
      <c r="C25" s="483"/>
      <c r="D25" s="483"/>
      <c r="E25" s="483"/>
      <c r="F25" s="484"/>
      <c r="H25" s="482" t="s">
        <v>324</v>
      </c>
      <c r="I25" s="483"/>
      <c r="J25" s="483"/>
      <c r="K25" s="483"/>
      <c r="L25" s="483"/>
      <c r="M25" s="484"/>
      <c r="O25" s="482" t="s">
        <v>325</v>
      </c>
      <c r="P25" s="476"/>
      <c r="Q25" s="476"/>
      <c r="R25" s="476"/>
      <c r="S25" s="476"/>
      <c r="T25" s="477"/>
    </row>
    <row r="26" spans="1:20" ht="12.75" customHeight="1">
      <c r="A26" s="482"/>
      <c r="B26" s="483"/>
      <c r="C26" s="483"/>
      <c r="D26" s="483"/>
      <c r="E26" s="483"/>
      <c r="F26" s="484"/>
      <c r="H26" s="482"/>
      <c r="I26" s="483"/>
      <c r="J26" s="483"/>
      <c r="K26" s="483"/>
      <c r="L26" s="483"/>
      <c r="M26" s="484"/>
      <c r="O26" s="475"/>
      <c r="P26" s="476"/>
      <c r="Q26" s="476"/>
      <c r="R26" s="476"/>
      <c r="S26" s="476"/>
      <c r="T26" s="477"/>
    </row>
    <row r="27" spans="1:20" ht="12.75" customHeight="1">
      <c r="A27" s="482"/>
      <c r="B27" s="483"/>
      <c r="C27" s="483"/>
      <c r="D27" s="483"/>
      <c r="E27" s="483"/>
      <c r="F27" s="484"/>
      <c r="H27" s="482"/>
      <c r="I27" s="483"/>
      <c r="J27" s="483"/>
      <c r="K27" s="483"/>
      <c r="L27" s="483"/>
      <c r="M27" s="484"/>
      <c r="O27" s="475"/>
      <c r="P27" s="476"/>
      <c r="Q27" s="476"/>
      <c r="R27" s="476"/>
      <c r="S27" s="476"/>
      <c r="T27" s="477"/>
    </row>
    <row r="28" spans="1:20">
      <c r="A28" s="482"/>
      <c r="B28" s="483"/>
      <c r="C28" s="483"/>
      <c r="D28" s="483"/>
      <c r="E28" s="483"/>
      <c r="F28" s="484"/>
      <c r="H28" s="482"/>
      <c r="I28" s="483"/>
      <c r="J28" s="483"/>
      <c r="K28" s="483"/>
      <c r="L28" s="483"/>
      <c r="M28" s="484"/>
      <c r="O28" s="475"/>
      <c r="P28" s="476"/>
      <c r="Q28" s="476"/>
      <c r="R28" s="476"/>
      <c r="S28" s="476"/>
      <c r="T28" s="477"/>
    </row>
    <row r="29" spans="1:20" ht="16.5" customHeight="1">
      <c r="A29" s="482"/>
      <c r="B29" s="483"/>
      <c r="C29" s="483"/>
      <c r="D29" s="483"/>
      <c r="E29" s="483"/>
      <c r="F29" s="484"/>
      <c r="H29" s="482"/>
      <c r="I29" s="483"/>
      <c r="J29" s="483"/>
      <c r="K29" s="483"/>
      <c r="L29" s="483"/>
      <c r="M29" s="484"/>
      <c r="O29" s="475"/>
      <c r="P29" s="476"/>
      <c r="Q29" s="476"/>
      <c r="R29" s="476"/>
      <c r="S29" s="476"/>
      <c r="T29" s="477"/>
    </row>
    <row r="30" spans="1:20" ht="12.75" customHeight="1">
      <c r="A30" s="482"/>
      <c r="B30" s="483"/>
      <c r="C30" s="483"/>
      <c r="D30" s="483"/>
      <c r="E30" s="483"/>
      <c r="F30" s="484"/>
      <c r="H30" s="482"/>
      <c r="I30" s="483"/>
      <c r="J30" s="483"/>
      <c r="K30" s="483"/>
      <c r="L30" s="483"/>
      <c r="M30" s="484"/>
      <c r="O30" s="475"/>
      <c r="P30" s="476"/>
      <c r="Q30" s="476"/>
      <c r="R30" s="476"/>
      <c r="S30" s="476"/>
      <c r="T30" s="477"/>
    </row>
    <row r="31" spans="1:20" ht="11.25" customHeight="1">
      <c r="A31" s="482"/>
      <c r="B31" s="483"/>
      <c r="C31" s="483"/>
      <c r="D31" s="483"/>
      <c r="E31" s="483"/>
      <c r="F31" s="484"/>
      <c r="H31" s="482"/>
      <c r="I31" s="483"/>
      <c r="J31" s="483"/>
      <c r="K31" s="483"/>
      <c r="L31" s="483"/>
      <c r="M31" s="484"/>
      <c r="O31" s="475"/>
      <c r="P31" s="476"/>
      <c r="Q31" s="476"/>
      <c r="R31" s="476"/>
      <c r="S31" s="476"/>
      <c r="T31" s="477"/>
    </row>
    <row r="32" spans="1:20" ht="27.75" customHeight="1">
      <c r="A32" s="482"/>
      <c r="B32" s="483"/>
      <c r="C32" s="483"/>
      <c r="D32" s="483"/>
      <c r="E32" s="483"/>
      <c r="F32" s="484"/>
      <c r="H32" s="482"/>
      <c r="I32" s="483"/>
      <c r="J32" s="483"/>
      <c r="K32" s="483"/>
      <c r="L32" s="483"/>
      <c r="M32" s="484"/>
      <c r="O32" s="475"/>
      <c r="P32" s="476"/>
      <c r="Q32" s="476"/>
      <c r="R32" s="476"/>
      <c r="S32" s="476"/>
      <c r="T32" s="477"/>
    </row>
    <row r="33" spans="1:20" ht="12.75" customHeight="1">
      <c r="A33" s="160"/>
      <c r="B33" s="146"/>
      <c r="C33" s="146"/>
      <c r="D33" s="146"/>
      <c r="E33" s="146"/>
      <c r="F33" s="166"/>
      <c r="H33" s="482"/>
      <c r="I33" s="483"/>
      <c r="J33" s="483"/>
      <c r="K33" s="483"/>
      <c r="L33" s="483"/>
      <c r="M33" s="484"/>
      <c r="O33" s="475"/>
      <c r="P33" s="476"/>
      <c r="Q33" s="476"/>
      <c r="R33" s="476"/>
      <c r="S33" s="476"/>
      <c r="T33" s="477"/>
    </row>
    <row r="34" spans="1:20">
      <c r="A34" s="35"/>
      <c r="B34" s="36"/>
      <c r="C34" s="36"/>
      <c r="D34" s="36"/>
      <c r="E34" s="36"/>
      <c r="F34" s="37"/>
      <c r="H34" s="485"/>
      <c r="I34" s="486"/>
      <c r="J34" s="486"/>
      <c r="K34" s="486"/>
      <c r="L34" s="486"/>
      <c r="M34" s="487"/>
      <c r="O34" s="35"/>
      <c r="P34" s="36"/>
      <c r="Q34" s="36"/>
      <c r="R34" s="36"/>
      <c r="S34" s="36"/>
      <c r="T34" s="37"/>
    </row>
    <row r="35" spans="1:20">
      <c r="A35" s="179"/>
      <c r="B35" s="179"/>
      <c r="C35" s="179"/>
      <c r="D35" s="179"/>
      <c r="E35" s="179"/>
      <c r="F35" s="179"/>
      <c r="G35" s="156"/>
      <c r="H35" s="296"/>
    </row>
    <row r="36" spans="1:20" ht="12.75" customHeight="1">
      <c r="A36" s="471" t="s">
        <v>46</v>
      </c>
      <c r="B36" s="472"/>
      <c r="C36" s="472"/>
      <c r="D36" s="472"/>
      <c r="E36" s="472"/>
      <c r="F36" s="472"/>
      <c r="G36" s="472"/>
      <c r="H36" s="472"/>
      <c r="I36" s="472"/>
      <c r="J36" s="472"/>
      <c r="K36" s="472"/>
      <c r="L36" s="472"/>
      <c r="M36" s="472"/>
      <c r="N36" s="472"/>
      <c r="O36" s="472"/>
      <c r="P36" s="472"/>
      <c r="Q36" s="472"/>
      <c r="R36" s="472"/>
      <c r="S36" s="472"/>
      <c r="T36" s="481"/>
    </row>
    <row r="37" spans="1:20">
      <c r="A37" s="493"/>
      <c r="B37" s="491"/>
      <c r="C37" s="491"/>
      <c r="D37" s="491"/>
      <c r="E37" s="491"/>
      <c r="F37" s="491"/>
      <c r="G37" s="491"/>
      <c r="H37" s="491"/>
      <c r="I37" s="491"/>
      <c r="J37" s="491"/>
      <c r="K37" s="491"/>
      <c r="L37" s="491"/>
      <c r="M37" s="491"/>
      <c r="N37" s="491"/>
      <c r="O37" s="491"/>
      <c r="P37" s="491"/>
      <c r="Q37" s="491"/>
      <c r="R37" s="491"/>
      <c r="S37" s="491"/>
      <c r="T37" s="492"/>
    </row>
    <row r="38" spans="1:20">
      <c r="A38" s="493"/>
      <c r="B38" s="491"/>
      <c r="C38" s="491"/>
      <c r="D38" s="491"/>
      <c r="E38" s="491"/>
      <c r="F38" s="491"/>
      <c r="G38" s="491"/>
      <c r="H38" s="491"/>
      <c r="I38" s="491"/>
      <c r="J38" s="491"/>
      <c r="K38" s="491"/>
      <c r="L38" s="491"/>
      <c r="M38" s="491"/>
      <c r="N38" s="491"/>
      <c r="O38" s="491"/>
      <c r="P38" s="491"/>
      <c r="Q38" s="491"/>
      <c r="R38" s="491"/>
      <c r="S38" s="491"/>
      <c r="T38" s="492"/>
    </row>
    <row r="39" spans="1:20">
      <c r="A39" s="493"/>
      <c r="B39" s="491"/>
      <c r="C39" s="491"/>
      <c r="D39" s="491"/>
      <c r="E39" s="491"/>
      <c r="F39" s="491"/>
      <c r="G39" s="491"/>
      <c r="H39" s="491"/>
      <c r="I39" s="491"/>
      <c r="J39" s="491"/>
      <c r="K39" s="491"/>
      <c r="L39" s="491"/>
      <c r="M39" s="491"/>
      <c r="N39" s="491"/>
      <c r="O39" s="491"/>
      <c r="P39" s="491"/>
      <c r="Q39" s="491"/>
      <c r="R39" s="491"/>
      <c r="S39" s="491"/>
      <c r="T39" s="492"/>
    </row>
    <row r="40" spans="1:20">
      <c r="A40" s="493"/>
      <c r="B40" s="491"/>
      <c r="C40" s="491"/>
      <c r="D40" s="491"/>
      <c r="E40" s="491"/>
      <c r="F40" s="491"/>
      <c r="G40" s="491"/>
      <c r="H40" s="491"/>
      <c r="I40" s="491"/>
      <c r="J40" s="491"/>
      <c r="K40" s="491"/>
      <c r="L40" s="491"/>
      <c r="M40" s="491"/>
      <c r="N40" s="491"/>
      <c r="O40" s="491"/>
      <c r="P40" s="491"/>
      <c r="Q40" s="491"/>
      <c r="R40" s="491"/>
      <c r="S40" s="491"/>
      <c r="T40" s="492"/>
    </row>
    <row r="41" spans="1:20">
      <c r="A41" s="493"/>
      <c r="B41" s="491"/>
      <c r="C41" s="491"/>
      <c r="D41" s="491"/>
      <c r="E41" s="491"/>
      <c r="F41" s="491"/>
      <c r="G41" s="491"/>
      <c r="H41" s="491"/>
      <c r="I41" s="491"/>
      <c r="J41" s="491"/>
      <c r="K41" s="491"/>
      <c r="L41" s="491"/>
      <c r="M41" s="491"/>
      <c r="N41" s="491"/>
      <c r="O41" s="491"/>
      <c r="P41" s="491"/>
      <c r="Q41" s="491"/>
      <c r="R41" s="491"/>
      <c r="S41" s="491"/>
      <c r="T41" s="492"/>
    </row>
    <row r="42" spans="1:20">
      <c r="A42" s="493"/>
      <c r="B42" s="491"/>
      <c r="C42" s="491"/>
      <c r="D42" s="491"/>
      <c r="E42" s="491"/>
      <c r="F42" s="491"/>
      <c r="G42" s="491"/>
      <c r="H42" s="491"/>
      <c r="I42" s="491"/>
      <c r="J42" s="491"/>
      <c r="K42" s="491"/>
      <c r="L42" s="491"/>
      <c r="M42" s="491"/>
      <c r="N42" s="491"/>
      <c r="O42" s="491"/>
      <c r="P42" s="491"/>
      <c r="Q42" s="491"/>
      <c r="R42" s="491"/>
      <c r="S42" s="491"/>
      <c r="T42" s="492"/>
    </row>
    <row r="43" spans="1:20">
      <c r="A43" s="493"/>
      <c r="B43" s="491"/>
      <c r="C43" s="491"/>
      <c r="D43" s="491"/>
      <c r="E43" s="491"/>
      <c r="F43" s="491"/>
      <c r="G43" s="491"/>
      <c r="H43" s="491"/>
      <c r="I43" s="491"/>
      <c r="J43" s="491"/>
      <c r="K43" s="491"/>
      <c r="L43" s="491"/>
      <c r="M43" s="491"/>
      <c r="N43" s="491"/>
      <c r="O43" s="491"/>
      <c r="P43" s="491"/>
      <c r="Q43" s="491"/>
      <c r="R43" s="491"/>
      <c r="S43" s="491"/>
      <c r="T43" s="492"/>
    </row>
    <row r="44" spans="1:20">
      <c r="A44" s="494"/>
      <c r="B44" s="495"/>
      <c r="C44" s="495"/>
      <c r="D44" s="495"/>
      <c r="E44" s="495"/>
      <c r="F44" s="495"/>
      <c r="G44" s="495"/>
      <c r="H44" s="495"/>
      <c r="I44" s="495"/>
      <c r="J44" s="495"/>
      <c r="K44" s="495"/>
      <c r="L44" s="495"/>
      <c r="M44" s="495"/>
      <c r="N44" s="495"/>
      <c r="O44" s="495"/>
      <c r="P44" s="495"/>
      <c r="Q44" s="495"/>
      <c r="R44" s="495"/>
      <c r="S44" s="495"/>
      <c r="T44" s="496"/>
    </row>
    <row r="55" spans="8:13">
      <c r="M55" s="26"/>
    </row>
    <row r="56" spans="8:13">
      <c r="H56" s="298"/>
      <c r="I56" s="297"/>
      <c r="J56" s="297"/>
      <c r="K56" s="297"/>
      <c r="L56" s="297"/>
      <c r="M56" s="298"/>
    </row>
    <row r="57" spans="8:13" ht="12.75" customHeight="1">
      <c r="H57" s="298"/>
      <c r="I57" s="297"/>
      <c r="J57" s="297"/>
      <c r="K57" s="297"/>
      <c r="L57" s="297"/>
      <c r="M57" s="298"/>
    </row>
    <row r="58" spans="8:13">
      <c r="H58" s="298"/>
      <c r="I58" s="297"/>
      <c r="J58" s="297"/>
      <c r="K58" s="297"/>
      <c r="L58" s="297"/>
      <c r="M58" s="298"/>
    </row>
    <row r="59" spans="8:13">
      <c r="H59" s="298"/>
      <c r="I59" s="297"/>
      <c r="J59" s="297"/>
      <c r="K59" s="297"/>
      <c r="L59" s="297"/>
      <c r="M59" s="298"/>
    </row>
    <row r="60" spans="8:13">
      <c r="M60" s="26"/>
    </row>
    <row r="61" spans="8:13">
      <c r="M61" s="26"/>
    </row>
  </sheetData>
  <customSheetViews>
    <customSheetView guid="{14394872-1C6D-42D5-AD0E-8F152B5DEE00}" fitToPage="1" topLeftCell="A13">
      <selection activeCell="F48" sqref="F48"/>
      <pageMargins left="0.75" right="0.75" top="1" bottom="1" header="0.5" footer="0.5"/>
      <pageSetup paperSize="9" scale="74" orientation="landscape" r:id="rId1"/>
      <headerFooter alignWithMargins="0"/>
    </customSheetView>
  </customSheetViews>
  <mergeCells count="8">
    <mergeCell ref="A37:T44"/>
    <mergeCell ref="A24:F24"/>
    <mergeCell ref="H24:M24"/>
    <mergeCell ref="O24:T24"/>
    <mergeCell ref="A36:T36"/>
    <mergeCell ref="A25:F32"/>
    <mergeCell ref="H25:M34"/>
    <mergeCell ref="O25:T33"/>
  </mergeCells>
  <phoneticPr fontId="2" type="noConversion"/>
  <pageMargins left="0.75" right="0.75" top="1" bottom="1" header="0.5" footer="0.5"/>
  <pageSetup paperSize="9" scale="74" orientation="landscape" r:id="rId2"/>
  <headerFooter alignWithMargins="0"/>
  <drawing r:id="rId3"/>
</worksheet>
</file>

<file path=xl/worksheets/sheet11.xml><?xml version="1.0" encoding="utf-8"?>
<worksheet xmlns="http://schemas.openxmlformats.org/spreadsheetml/2006/main" xmlns:r="http://schemas.openxmlformats.org/officeDocument/2006/relationships">
  <sheetPr codeName="Sheet16">
    <pageSetUpPr fitToPage="1"/>
  </sheetPr>
  <dimension ref="A1:K44"/>
  <sheetViews>
    <sheetView showGridLines="0" topLeftCell="A13" workbookViewId="0">
      <selection activeCell="C40" sqref="C40"/>
    </sheetView>
  </sheetViews>
  <sheetFormatPr defaultRowHeight="12.75"/>
  <cols>
    <col min="1" max="1" width="40.85546875" style="197" bestFit="1" customWidth="1"/>
    <col min="2" max="2" width="1.7109375" style="197" customWidth="1"/>
    <col min="3" max="3" width="18.7109375" style="201" customWidth="1"/>
    <col min="4" max="4" width="1.7109375" style="202" customWidth="1"/>
    <col min="5" max="5" width="18.7109375" style="201" customWidth="1"/>
    <col min="6" max="6" width="1.7109375" style="201" customWidth="1"/>
    <col min="7" max="7" width="18.7109375" style="201" customWidth="1"/>
    <col min="8" max="8" width="1.7109375" style="202" customWidth="1"/>
    <col min="9" max="16384" width="9.140625" style="197"/>
  </cols>
  <sheetData>
    <row r="1" spans="1:11">
      <c r="A1" s="1" t="str">
        <f>'1 Key Financial Performance'!A1</f>
        <v>Finance Report Month 6 2011/12 - NHS Ealing, NHS Hillingdon and NHS Hounslow</v>
      </c>
    </row>
    <row r="4" spans="1:11">
      <c r="A4" s="1" t="s">
        <v>201</v>
      </c>
    </row>
    <row r="9" spans="1:11" s="3" customFormat="1">
      <c r="A9" s="87" t="s">
        <v>48</v>
      </c>
      <c r="C9" s="175" t="s">
        <v>206</v>
      </c>
      <c r="D9" s="173"/>
      <c r="E9" s="175" t="s">
        <v>207</v>
      </c>
      <c r="F9" s="174"/>
      <c r="G9" s="175" t="s">
        <v>208</v>
      </c>
      <c r="H9" s="173"/>
    </row>
    <row r="11" spans="1:11">
      <c r="A11" s="46" t="s">
        <v>49</v>
      </c>
      <c r="C11" s="203" t="s">
        <v>61</v>
      </c>
      <c r="D11" s="204"/>
      <c r="E11" s="203"/>
      <c r="F11" s="204"/>
      <c r="G11" s="203"/>
      <c r="H11" s="204"/>
      <c r="J11" s="155"/>
      <c r="K11" s="205"/>
    </row>
    <row r="12" spans="1:11">
      <c r="A12" s="206" t="s">
        <v>177</v>
      </c>
      <c r="C12" s="207">
        <v>43875</v>
      </c>
      <c r="D12" s="204"/>
      <c r="E12" s="207">
        <v>37300</v>
      </c>
      <c r="F12" s="204"/>
      <c r="G12" s="207">
        <v>46703</v>
      </c>
      <c r="H12" s="204"/>
    </row>
    <row r="13" spans="1:11">
      <c r="A13" s="206" t="s">
        <v>262</v>
      </c>
      <c r="C13" s="207">
        <v>169</v>
      </c>
      <c r="D13" s="204"/>
      <c r="E13" s="207">
        <v>157</v>
      </c>
      <c r="F13" s="204"/>
      <c r="G13" s="207">
        <v>1201</v>
      </c>
      <c r="H13" s="204"/>
    </row>
    <row r="14" spans="1:11">
      <c r="A14" s="206" t="s">
        <v>50</v>
      </c>
      <c r="C14" s="207">
        <v>0</v>
      </c>
      <c r="D14" s="204"/>
      <c r="E14" s="207">
        <v>84</v>
      </c>
      <c r="F14" s="204"/>
      <c r="G14" s="207">
        <v>192</v>
      </c>
      <c r="H14" s="204"/>
    </row>
    <row r="15" spans="1:11">
      <c r="A15" s="47" t="s">
        <v>51</v>
      </c>
      <c r="C15" s="176">
        <f>SUM(C12:C14)</f>
        <v>44044</v>
      </c>
      <c r="D15" s="204"/>
      <c r="E15" s="176">
        <f>SUM(E12:E14)</f>
        <v>37541</v>
      </c>
      <c r="F15" s="177"/>
      <c r="G15" s="176">
        <f>SUM(G11:G14)</f>
        <v>48096</v>
      </c>
      <c r="H15" s="204"/>
    </row>
    <row r="16" spans="1:11">
      <c r="C16" s="204"/>
      <c r="D16" s="204"/>
      <c r="E16" s="204"/>
      <c r="F16" s="204"/>
      <c r="G16" s="204"/>
      <c r="H16" s="204"/>
    </row>
    <row r="17" spans="1:8">
      <c r="A17" s="46" t="s">
        <v>52</v>
      </c>
      <c r="C17" s="203"/>
      <c r="D17" s="204"/>
      <c r="E17" s="203"/>
      <c r="F17" s="204"/>
      <c r="G17" s="203"/>
      <c r="H17" s="204"/>
    </row>
    <row r="18" spans="1:8">
      <c r="A18" s="206" t="s">
        <v>53</v>
      </c>
      <c r="C18" s="207">
        <v>0</v>
      </c>
      <c r="D18" s="204"/>
      <c r="E18" s="207">
        <v>19</v>
      </c>
      <c r="F18" s="204"/>
      <c r="G18" s="207">
        <v>447</v>
      </c>
      <c r="H18" s="204"/>
    </row>
    <row r="19" spans="1:8">
      <c r="A19" s="206" t="s">
        <v>73</v>
      </c>
      <c r="C19" s="207">
        <f>3301+491+68</f>
        <v>3860</v>
      </c>
      <c r="D19" s="204"/>
      <c r="E19" s="207">
        <v>7672</v>
      </c>
      <c r="F19" s="204"/>
      <c r="G19" s="207">
        <v>4903</v>
      </c>
      <c r="H19" s="204"/>
    </row>
    <row r="20" spans="1:8">
      <c r="A20" s="206" t="s">
        <v>54</v>
      </c>
      <c r="C20" s="207">
        <v>43</v>
      </c>
      <c r="D20" s="204"/>
      <c r="E20" s="207">
        <v>21</v>
      </c>
      <c r="F20" s="204"/>
      <c r="G20" s="207">
        <v>8</v>
      </c>
      <c r="H20" s="204"/>
    </row>
    <row r="21" spans="1:8">
      <c r="A21" s="206" t="s">
        <v>74</v>
      </c>
      <c r="C21" s="207">
        <f>-10888-20494-13100-217-3880</f>
        <v>-48579</v>
      </c>
      <c r="D21" s="204"/>
      <c r="E21" s="207">
        <v>-32957</v>
      </c>
      <c r="F21" s="204"/>
      <c r="G21" s="207">
        <v>-21060</v>
      </c>
      <c r="H21" s="204"/>
    </row>
    <row r="22" spans="1:8">
      <c r="A22" s="47" t="s">
        <v>55</v>
      </c>
      <c r="C22" s="176">
        <f>SUM(C17:C21)</f>
        <v>-44676</v>
      </c>
      <c r="D22" s="204"/>
      <c r="E22" s="176">
        <f>SUM(E18:E21)</f>
        <v>-25245</v>
      </c>
      <c r="F22" s="204"/>
      <c r="G22" s="176">
        <f>SUM(G18:G21)</f>
        <v>-15702</v>
      </c>
      <c r="H22" s="204"/>
    </row>
    <row r="23" spans="1:8">
      <c r="C23" s="204"/>
      <c r="D23" s="204"/>
      <c r="E23" s="204"/>
      <c r="F23" s="204"/>
      <c r="G23" s="204"/>
      <c r="H23" s="204"/>
    </row>
    <row r="24" spans="1:8">
      <c r="A24" s="45" t="s">
        <v>92</v>
      </c>
      <c r="C24" s="178">
        <f>C15+C22</f>
        <v>-632</v>
      </c>
      <c r="D24" s="204"/>
      <c r="E24" s="178">
        <f>E15+E22</f>
        <v>12296</v>
      </c>
      <c r="F24" s="204"/>
      <c r="G24" s="178">
        <f>G22+G15</f>
        <v>32394</v>
      </c>
      <c r="H24" s="204"/>
    </row>
    <row r="25" spans="1:8">
      <c r="C25" s="204"/>
      <c r="D25" s="204"/>
      <c r="E25" s="204"/>
      <c r="F25" s="204"/>
      <c r="G25" s="204"/>
      <c r="H25" s="204"/>
    </row>
    <row r="26" spans="1:8">
      <c r="A26" s="45" t="s">
        <v>75</v>
      </c>
      <c r="C26" s="178">
        <v>-10831</v>
      </c>
      <c r="D26" s="204"/>
      <c r="E26" s="178">
        <v>0</v>
      </c>
      <c r="F26" s="204"/>
      <c r="G26" s="178">
        <v>-13964</v>
      </c>
      <c r="H26" s="204"/>
    </row>
    <row r="27" spans="1:8">
      <c r="C27" s="204"/>
      <c r="D27" s="204"/>
      <c r="E27" s="204"/>
      <c r="F27" s="204"/>
      <c r="G27" s="204"/>
      <c r="H27" s="204"/>
    </row>
    <row r="28" spans="1:8">
      <c r="A28" s="45" t="s">
        <v>93</v>
      </c>
      <c r="B28" s="1"/>
      <c r="C28" s="178">
        <v>-4714</v>
      </c>
      <c r="D28" s="177"/>
      <c r="E28" s="178">
        <v>-2872</v>
      </c>
      <c r="F28" s="177"/>
      <c r="G28" s="178">
        <v>-3874</v>
      </c>
      <c r="H28" s="177"/>
    </row>
    <row r="29" spans="1:8">
      <c r="C29" s="204"/>
      <c r="D29" s="204"/>
      <c r="E29" s="204"/>
      <c r="F29" s="204"/>
      <c r="G29" s="204"/>
      <c r="H29" s="204"/>
    </row>
    <row r="30" spans="1:8">
      <c r="A30" s="208" t="s">
        <v>56</v>
      </c>
      <c r="C30" s="178">
        <f>SUM(C24:C29)</f>
        <v>-16177</v>
      </c>
      <c r="D30" s="204"/>
      <c r="E30" s="178">
        <f>SUM(E24:E29)</f>
        <v>9424</v>
      </c>
      <c r="F30" s="204"/>
      <c r="G30" s="178">
        <f>SUM(G24:G28)</f>
        <v>14556</v>
      </c>
      <c r="H30" s="204"/>
    </row>
    <row r="31" spans="1:8">
      <c r="C31" s="204"/>
      <c r="D31" s="204"/>
      <c r="E31" s="204"/>
      <c r="F31" s="204"/>
      <c r="G31" s="204"/>
      <c r="H31" s="204"/>
    </row>
    <row r="32" spans="1:8">
      <c r="C32" s="204"/>
      <c r="D32" s="204"/>
      <c r="E32" s="204"/>
      <c r="F32" s="204"/>
      <c r="G32" s="204"/>
      <c r="H32" s="204"/>
    </row>
    <row r="33" spans="1:8">
      <c r="A33" s="46" t="s">
        <v>57</v>
      </c>
      <c r="C33" s="203"/>
      <c r="D33" s="204"/>
      <c r="E33" s="203"/>
      <c r="F33" s="204"/>
      <c r="G33" s="203"/>
      <c r="H33" s="204"/>
    </row>
    <row r="34" spans="1:8">
      <c r="A34" s="206" t="s">
        <v>58</v>
      </c>
      <c r="C34" s="207">
        <v>-24861</v>
      </c>
      <c r="D34" s="204"/>
      <c r="E34" s="207">
        <v>-5738</v>
      </c>
      <c r="F34" s="204"/>
      <c r="G34" s="207">
        <v>3763</v>
      </c>
      <c r="H34" s="204"/>
    </row>
    <row r="35" spans="1:8">
      <c r="A35" s="209" t="s">
        <v>59</v>
      </c>
      <c r="C35" s="210">
        <v>8684</v>
      </c>
      <c r="D35" s="204"/>
      <c r="E35" s="210">
        <v>15162</v>
      </c>
      <c r="F35" s="204"/>
      <c r="G35" s="210">
        <v>10793</v>
      </c>
      <c r="H35" s="204"/>
    </row>
    <row r="36" spans="1:8">
      <c r="C36" s="204"/>
      <c r="D36" s="204"/>
      <c r="E36" s="204"/>
      <c r="F36" s="204"/>
      <c r="G36" s="204"/>
      <c r="H36" s="204"/>
    </row>
    <row r="37" spans="1:8">
      <c r="A37" s="45" t="s">
        <v>60</v>
      </c>
      <c r="C37" s="178">
        <f>SUM(C34:C36)</f>
        <v>-16177</v>
      </c>
      <c r="D37" s="204"/>
      <c r="E37" s="178">
        <f>SUM(E34:E36)</f>
        <v>9424</v>
      </c>
      <c r="F37" s="204"/>
      <c r="G37" s="178">
        <f>SUM(G34:G36)</f>
        <v>14556</v>
      </c>
      <c r="H37" s="204"/>
    </row>
    <row r="38" spans="1:8">
      <c r="A38" s="211"/>
    </row>
    <row r="43" spans="1:8">
      <c r="A43" s="1"/>
      <c r="C43" s="268"/>
    </row>
    <row r="44" spans="1:8">
      <c r="A44" s="205"/>
    </row>
  </sheetData>
  <customSheetViews>
    <customSheetView guid="{14394872-1C6D-42D5-AD0E-8F152B5DEE00}" showGridLines="0" fitToPage="1">
      <selection activeCell="H13" sqref="H13"/>
      <pageMargins left="0.75" right="0.75" top="1" bottom="1" header="0.5" footer="0.5"/>
      <pageSetup paperSize="9" orientation="landscape" r:id="rId1"/>
      <headerFooter alignWithMargins="0"/>
    </customSheetView>
  </customSheetViews>
  <phoneticPr fontId="2" type="noConversion"/>
  <pageMargins left="0.75" right="0.75" top="1" bottom="1" header="0.5" footer="0.5"/>
  <pageSetup paperSize="9" orientation="landscape" r:id="rId2"/>
  <headerFooter alignWithMargins="0"/>
</worksheet>
</file>

<file path=xl/worksheets/sheet12.xml><?xml version="1.0" encoding="utf-8"?>
<worksheet xmlns="http://schemas.openxmlformats.org/spreadsheetml/2006/main" xmlns:r="http://schemas.openxmlformats.org/officeDocument/2006/relationships">
  <sheetPr codeName="Sheet17">
    <pageSetUpPr fitToPage="1"/>
  </sheetPr>
  <dimension ref="A1:Q19"/>
  <sheetViews>
    <sheetView showGridLines="0" topLeftCell="A19" zoomScaleNormal="100" workbookViewId="0">
      <selection activeCell="S19" sqref="S19"/>
    </sheetView>
  </sheetViews>
  <sheetFormatPr defaultRowHeight="12.75"/>
  <cols>
    <col min="6" max="6" width="2.7109375" customWidth="1"/>
    <col min="11" max="11" width="8.28515625" customWidth="1"/>
    <col min="12" max="12" width="1.7109375" customWidth="1"/>
  </cols>
  <sheetData>
    <row r="1" spans="1:17">
      <c r="A1" s="1" t="str">
        <f>'1 Key Financial Performance'!A1</f>
        <v>Finance Report Month 6 2011/12 - NHS Ealing, NHS Hillingdon and NHS Hounslow</v>
      </c>
    </row>
    <row r="4" spans="1:17">
      <c r="A4" s="1" t="s">
        <v>203</v>
      </c>
    </row>
    <row r="8" spans="1:17" ht="13.5" thickBot="1"/>
    <row r="9" spans="1:17" ht="12.75" customHeight="1">
      <c r="A9" s="321"/>
      <c r="B9" s="506" t="s">
        <v>480</v>
      </c>
      <c r="C9" s="506"/>
      <c r="D9" s="506"/>
      <c r="E9" s="506"/>
      <c r="F9" s="506"/>
      <c r="G9" s="506"/>
      <c r="H9" s="506"/>
      <c r="I9" s="506"/>
      <c r="J9" s="506"/>
      <c r="K9" s="506"/>
      <c r="L9" s="506"/>
      <c r="M9" s="506"/>
      <c r="N9" s="506"/>
      <c r="O9" s="506"/>
      <c r="P9" s="506"/>
      <c r="Q9" s="322"/>
    </row>
    <row r="10" spans="1:17">
      <c r="A10" s="323"/>
      <c r="B10" s="507"/>
      <c r="C10" s="507"/>
      <c r="D10" s="507"/>
      <c r="E10" s="507"/>
      <c r="F10" s="507"/>
      <c r="G10" s="507"/>
      <c r="H10" s="507"/>
      <c r="I10" s="507"/>
      <c r="J10" s="507"/>
      <c r="K10" s="507"/>
      <c r="L10" s="507"/>
      <c r="M10" s="507"/>
      <c r="N10" s="507"/>
      <c r="O10" s="507"/>
      <c r="P10" s="507"/>
      <c r="Q10" s="324"/>
    </row>
    <row r="11" spans="1:17">
      <c r="A11" s="323"/>
      <c r="B11" s="507"/>
      <c r="C11" s="507"/>
      <c r="D11" s="507"/>
      <c r="E11" s="507"/>
      <c r="F11" s="507"/>
      <c r="G11" s="507"/>
      <c r="H11" s="507"/>
      <c r="I11" s="507"/>
      <c r="J11" s="507"/>
      <c r="K11" s="507"/>
      <c r="L11" s="507"/>
      <c r="M11" s="507"/>
      <c r="N11" s="507"/>
      <c r="O11" s="507"/>
      <c r="P11" s="507"/>
      <c r="Q11" s="324"/>
    </row>
    <row r="12" spans="1:17">
      <c r="A12" s="323"/>
      <c r="B12" s="507"/>
      <c r="C12" s="507"/>
      <c r="D12" s="507"/>
      <c r="E12" s="507"/>
      <c r="F12" s="507"/>
      <c r="G12" s="507"/>
      <c r="H12" s="507"/>
      <c r="I12" s="507"/>
      <c r="J12" s="507"/>
      <c r="K12" s="507"/>
      <c r="L12" s="507"/>
      <c r="M12" s="507"/>
      <c r="N12" s="507"/>
      <c r="O12" s="507"/>
      <c r="P12" s="507"/>
      <c r="Q12" s="324"/>
    </row>
    <row r="13" spans="1:17">
      <c r="A13" s="323"/>
      <c r="B13" s="507"/>
      <c r="C13" s="507"/>
      <c r="D13" s="507"/>
      <c r="E13" s="507"/>
      <c r="F13" s="507"/>
      <c r="G13" s="507"/>
      <c r="H13" s="507"/>
      <c r="I13" s="507"/>
      <c r="J13" s="507"/>
      <c r="K13" s="507"/>
      <c r="L13" s="507"/>
      <c r="M13" s="507"/>
      <c r="N13" s="507"/>
      <c r="O13" s="507"/>
      <c r="P13" s="507"/>
      <c r="Q13" s="324"/>
    </row>
    <row r="14" spans="1:17">
      <c r="A14" s="323"/>
      <c r="B14" s="507"/>
      <c r="C14" s="507"/>
      <c r="D14" s="507"/>
      <c r="E14" s="507"/>
      <c r="F14" s="507"/>
      <c r="G14" s="507"/>
      <c r="H14" s="507"/>
      <c r="I14" s="507"/>
      <c r="J14" s="507"/>
      <c r="K14" s="507"/>
      <c r="L14" s="507"/>
      <c r="M14" s="507"/>
      <c r="N14" s="507"/>
      <c r="O14" s="507"/>
      <c r="P14" s="507"/>
      <c r="Q14" s="324"/>
    </row>
    <row r="15" spans="1:17">
      <c r="A15" s="323"/>
      <c r="B15" s="507"/>
      <c r="C15" s="507"/>
      <c r="D15" s="507"/>
      <c r="E15" s="507"/>
      <c r="F15" s="507"/>
      <c r="G15" s="507"/>
      <c r="H15" s="507"/>
      <c r="I15" s="507"/>
      <c r="J15" s="507"/>
      <c r="K15" s="507"/>
      <c r="L15" s="507"/>
      <c r="M15" s="507"/>
      <c r="N15" s="507"/>
      <c r="O15" s="507"/>
      <c r="P15" s="507"/>
      <c r="Q15" s="324"/>
    </row>
    <row r="16" spans="1:17">
      <c r="A16" s="323"/>
      <c r="B16" s="507"/>
      <c r="C16" s="507"/>
      <c r="D16" s="507"/>
      <c r="E16" s="507"/>
      <c r="F16" s="507"/>
      <c r="G16" s="507"/>
      <c r="H16" s="507"/>
      <c r="I16" s="507"/>
      <c r="J16" s="507"/>
      <c r="K16" s="507"/>
      <c r="L16" s="507"/>
      <c r="M16" s="507"/>
      <c r="N16" s="507"/>
      <c r="O16" s="507"/>
      <c r="P16" s="507"/>
      <c r="Q16" s="324"/>
    </row>
    <row r="17" spans="1:17">
      <c r="A17" s="323"/>
      <c r="B17" s="507"/>
      <c r="C17" s="507"/>
      <c r="D17" s="507"/>
      <c r="E17" s="507"/>
      <c r="F17" s="507"/>
      <c r="G17" s="507"/>
      <c r="H17" s="507"/>
      <c r="I17" s="507"/>
      <c r="J17" s="507"/>
      <c r="K17" s="507"/>
      <c r="L17" s="507"/>
      <c r="M17" s="507"/>
      <c r="N17" s="507"/>
      <c r="O17" s="507"/>
      <c r="P17" s="507"/>
      <c r="Q17" s="324"/>
    </row>
    <row r="18" spans="1:17" ht="13.5" thickBot="1">
      <c r="A18" s="325"/>
      <c r="B18" s="326"/>
      <c r="C18" s="326"/>
      <c r="D18" s="326"/>
      <c r="E18" s="326"/>
      <c r="F18" s="326"/>
      <c r="G18" s="326"/>
      <c r="H18" s="326"/>
      <c r="I18" s="326"/>
      <c r="J18" s="326"/>
      <c r="K18" s="326"/>
      <c r="L18" s="326"/>
      <c r="M18" s="326"/>
      <c r="N18" s="326"/>
      <c r="O18" s="326"/>
      <c r="P18" s="326"/>
      <c r="Q18" s="327"/>
    </row>
    <row r="19" spans="1:17" ht="12.75" customHeight="1"/>
  </sheetData>
  <customSheetViews>
    <customSheetView guid="{14394872-1C6D-42D5-AD0E-8F152B5DEE00}" showGridLines="0" fitToPage="1">
      <selection activeCell="M29" sqref="M29"/>
      <pageMargins left="0.75" right="0.75" top="1" bottom="1" header="0.5" footer="0.5"/>
      <pageSetup paperSize="9" scale="94" orientation="landscape" r:id="rId1"/>
      <headerFooter alignWithMargins="0"/>
    </customSheetView>
  </customSheetViews>
  <mergeCells count="1">
    <mergeCell ref="B9:P17"/>
  </mergeCells>
  <phoneticPr fontId="2" type="noConversion"/>
  <pageMargins left="0.75" right="0.75" top="1" bottom="1" header="0.5" footer="0.5"/>
  <pageSetup paperSize="9" scale="86"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sheetPr codeName="Sheet18">
    <pageSetUpPr fitToPage="1"/>
  </sheetPr>
  <dimension ref="A1:R52"/>
  <sheetViews>
    <sheetView showGridLines="0" topLeftCell="A10" workbookViewId="0">
      <selection activeCell="P47" sqref="P47"/>
    </sheetView>
  </sheetViews>
  <sheetFormatPr defaultRowHeight="12.75"/>
  <cols>
    <col min="15" max="15" width="1.7109375" customWidth="1"/>
    <col min="18" max="18" width="14.7109375" customWidth="1"/>
  </cols>
  <sheetData>
    <row r="1" spans="1:18">
      <c r="A1" s="1" t="str">
        <f>'1 Key Financial Performance'!A1</f>
        <v>Finance Report Month 6 2011/12 - NHS Ealing, NHS Hillingdon and NHS Hounslow</v>
      </c>
    </row>
    <row r="4" spans="1:18">
      <c r="A4" s="1" t="s">
        <v>204</v>
      </c>
    </row>
    <row r="5" spans="1:18">
      <c r="A5" s="1"/>
    </row>
    <row r="6" spans="1:18" ht="13.5" thickBot="1">
      <c r="A6" s="1" t="s">
        <v>206</v>
      </c>
    </row>
    <row r="7" spans="1:18">
      <c r="P7" s="518" t="s">
        <v>42</v>
      </c>
      <c r="Q7" s="519"/>
      <c r="R7" s="520"/>
    </row>
    <row r="8" spans="1:18" ht="12.75" customHeight="1">
      <c r="P8" s="524" t="s">
        <v>301</v>
      </c>
      <c r="Q8" s="525"/>
      <c r="R8" s="526"/>
    </row>
    <row r="9" spans="1:18" ht="12.75" customHeight="1">
      <c r="P9" s="521"/>
      <c r="Q9" s="522"/>
      <c r="R9" s="523"/>
    </row>
    <row r="10" spans="1:18">
      <c r="P10" s="521"/>
      <c r="Q10" s="522"/>
      <c r="R10" s="523"/>
    </row>
    <row r="11" spans="1:18">
      <c r="P11" s="521"/>
      <c r="Q11" s="522"/>
      <c r="R11" s="523"/>
    </row>
    <row r="12" spans="1:18">
      <c r="P12" s="316"/>
      <c r="Q12" s="33"/>
      <c r="R12" s="317"/>
    </row>
    <row r="13" spans="1:18" ht="12.75" customHeight="1">
      <c r="P13" s="316"/>
      <c r="Q13" s="33"/>
      <c r="R13" s="317"/>
    </row>
    <row r="14" spans="1:18">
      <c r="P14" s="316"/>
      <c r="Q14" s="33"/>
      <c r="R14" s="317"/>
    </row>
    <row r="15" spans="1:18">
      <c r="P15" s="316"/>
      <c r="Q15" s="33"/>
      <c r="R15" s="317"/>
    </row>
    <row r="16" spans="1:18">
      <c r="P16" s="521" t="s">
        <v>302</v>
      </c>
      <c r="Q16" s="522"/>
      <c r="R16" s="523"/>
    </row>
    <row r="17" spans="1:18">
      <c r="P17" s="521"/>
      <c r="Q17" s="522"/>
      <c r="R17" s="523"/>
    </row>
    <row r="18" spans="1:18" ht="12.75" customHeight="1">
      <c r="P18" s="521"/>
      <c r="Q18" s="522"/>
      <c r="R18" s="523"/>
    </row>
    <row r="19" spans="1:18">
      <c r="P19" s="521"/>
      <c r="Q19" s="522"/>
      <c r="R19" s="523"/>
    </row>
    <row r="20" spans="1:18">
      <c r="P20" s="316"/>
      <c r="Q20" s="33"/>
      <c r="R20" s="317"/>
    </row>
    <row r="21" spans="1:18" ht="13.5" thickBot="1">
      <c r="P21" s="318"/>
      <c r="Q21" s="319"/>
      <c r="R21" s="320"/>
    </row>
    <row r="22" spans="1:18" ht="12.75" customHeight="1">
      <c r="A22" s="1" t="s">
        <v>207</v>
      </c>
      <c r="P22" s="179"/>
      <c r="Q22" s="179"/>
      <c r="R22" s="179"/>
    </row>
    <row r="23" spans="1:18" ht="12.75" customHeight="1">
      <c r="P23" s="179"/>
      <c r="Q23" s="179"/>
      <c r="R23" s="179"/>
    </row>
    <row r="24" spans="1:18">
      <c r="P24" s="179"/>
      <c r="Q24" s="179"/>
      <c r="R24" s="179"/>
    </row>
    <row r="25" spans="1:18" ht="12.75" customHeight="1">
      <c r="P25" s="179"/>
      <c r="Q25" s="179"/>
      <c r="R25" s="179"/>
    </row>
    <row r="26" spans="1:18" ht="12.75" customHeight="1">
      <c r="P26" s="179"/>
      <c r="Q26" s="179"/>
      <c r="R26" s="179"/>
    </row>
    <row r="27" spans="1:18">
      <c r="P27" s="179"/>
      <c r="Q27" s="179"/>
      <c r="R27" s="179"/>
    </row>
    <row r="28" spans="1:18">
      <c r="P28" s="179"/>
      <c r="Q28" s="179"/>
      <c r="R28" s="179"/>
    </row>
    <row r="29" spans="1:18">
      <c r="P29" s="179"/>
      <c r="Q29" s="179"/>
      <c r="R29" s="179"/>
    </row>
    <row r="30" spans="1:18" ht="12.75" customHeight="1">
      <c r="P30" s="179"/>
      <c r="Q30" s="179"/>
      <c r="R30" s="179"/>
    </row>
    <row r="31" spans="1:18">
      <c r="P31" s="179"/>
      <c r="Q31" s="179"/>
      <c r="R31" s="179"/>
    </row>
    <row r="32" spans="1:18">
      <c r="P32" s="179"/>
      <c r="Q32" s="179"/>
      <c r="R32" s="179"/>
    </row>
    <row r="33" spans="1:18">
      <c r="P33" s="179"/>
      <c r="Q33" s="179"/>
      <c r="R33" s="179"/>
    </row>
    <row r="34" spans="1:18">
      <c r="P34" s="179"/>
      <c r="Q34" s="179"/>
      <c r="R34" s="179"/>
    </row>
    <row r="35" spans="1:18">
      <c r="P35" s="179"/>
      <c r="Q35" s="179"/>
      <c r="R35" s="179"/>
    </row>
    <row r="36" spans="1:18">
      <c r="P36" s="179"/>
      <c r="Q36" s="179"/>
      <c r="R36" s="179"/>
    </row>
    <row r="37" spans="1:18">
      <c r="P37" s="179"/>
      <c r="Q37" s="179"/>
      <c r="R37" s="179"/>
    </row>
    <row r="38" spans="1:18">
      <c r="A38" s="1" t="s">
        <v>208</v>
      </c>
    </row>
    <row r="39" spans="1:18">
      <c r="P39" s="508" t="s">
        <v>46</v>
      </c>
      <c r="Q39" s="509"/>
      <c r="R39" s="510"/>
    </row>
    <row r="40" spans="1:18">
      <c r="P40" s="511" t="s">
        <v>481</v>
      </c>
      <c r="Q40" s="512"/>
      <c r="R40" s="513"/>
    </row>
    <row r="41" spans="1:18">
      <c r="P41" s="514"/>
      <c r="Q41" s="512"/>
      <c r="R41" s="513"/>
    </row>
    <row r="42" spans="1:18">
      <c r="P42" s="514"/>
      <c r="Q42" s="512"/>
      <c r="R42" s="513"/>
    </row>
    <row r="43" spans="1:18" ht="12.75" customHeight="1">
      <c r="P43" s="514"/>
      <c r="Q43" s="512"/>
      <c r="R43" s="513"/>
    </row>
    <row r="44" spans="1:18">
      <c r="P44" s="514"/>
      <c r="Q44" s="512"/>
      <c r="R44" s="513"/>
    </row>
    <row r="45" spans="1:18">
      <c r="P45" s="514"/>
      <c r="Q45" s="512"/>
      <c r="R45" s="513"/>
    </row>
    <row r="46" spans="1:18">
      <c r="P46" s="514"/>
      <c r="Q46" s="512"/>
      <c r="R46" s="513"/>
    </row>
    <row r="47" spans="1:18">
      <c r="P47" s="301"/>
      <c r="Q47" s="302"/>
      <c r="R47" s="303"/>
    </row>
    <row r="48" spans="1:18">
      <c r="P48" s="301"/>
      <c r="Q48" s="302"/>
      <c r="R48" s="303"/>
    </row>
    <row r="49" spans="16:18">
      <c r="P49" s="301"/>
      <c r="Q49" s="302"/>
      <c r="R49" s="303"/>
    </row>
    <row r="50" spans="16:18">
      <c r="P50" s="514"/>
      <c r="Q50" s="512"/>
      <c r="R50" s="513"/>
    </row>
    <row r="51" spans="16:18">
      <c r="P51" s="514"/>
      <c r="Q51" s="512"/>
      <c r="R51" s="513"/>
    </row>
    <row r="52" spans="16:18">
      <c r="P52" s="515"/>
      <c r="Q52" s="516"/>
      <c r="R52" s="517"/>
    </row>
  </sheetData>
  <customSheetViews>
    <customSheetView guid="{14394872-1C6D-42D5-AD0E-8F152B5DEE00}" showGridLines="0" fitToPage="1" topLeftCell="A7">
      <selection activeCell="Q33" sqref="Q33"/>
      <pageMargins left="0.75" right="0.75" top="1" bottom="1" header="0.5" footer="0.5"/>
      <pageSetup paperSize="9" scale="66" orientation="landscape" r:id="rId1"/>
      <headerFooter alignWithMargins="0"/>
    </customSheetView>
  </customSheetViews>
  <mergeCells count="6">
    <mergeCell ref="P39:R39"/>
    <mergeCell ref="P40:R46"/>
    <mergeCell ref="P50:R52"/>
    <mergeCell ref="P7:R7"/>
    <mergeCell ref="P16:R19"/>
    <mergeCell ref="P8:R11"/>
  </mergeCells>
  <phoneticPr fontId="2" type="noConversion"/>
  <pageMargins left="0.75" right="0.75" top="1" bottom="1" header="0.5" footer="0.5"/>
  <pageSetup paperSize="9" scale="66" orientation="landscape" r:id="rId2"/>
  <headerFooter alignWithMargins="0"/>
  <drawing r:id="rId3"/>
</worksheet>
</file>

<file path=xl/worksheets/sheet14.xml><?xml version="1.0" encoding="utf-8"?>
<worksheet xmlns="http://schemas.openxmlformats.org/spreadsheetml/2006/main" xmlns:r="http://schemas.openxmlformats.org/officeDocument/2006/relationships">
  <sheetPr codeName="Sheet19">
    <pageSetUpPr fitToPage="1"/>
  </sheetPr>
  <dimension ref="A1:K69"/>
  <sheetViews>
    <sheetView showGridLines="0" topLeftCell="C46" workbookViewId="0">
      <selection activeCell="G52" sqref="G52:K62"/>
    </sheetView>
  </sheetViews>
  <sheetFormatPr defaultRowHeight="12.75"/>
  <cols>
    <col min="1" max="1" width="61.28515625" customWidth="1"/>
    <col min="2" max="3" width="20.28515625" customWidth="1"/>
    <col min="4" max="4" width="20.28515625" style="196" customWidth="1"/>
    <col min="5" max="5" width="21.85546875" style="196" customWidth="1"/>
    <col min="6" max="6" width="1.7109375" style="196" customWidth="1"/>
    <col min="7" max="7" width="6.140625" style="196" customWidth="1"/>
    <col min="8" max="8" width="20.7109375" style="196" customWidth="1"/>
  </cols>
  <sheetData>
    <row r="1" spans="1:8">
      <c r="A1" s="1" t="str">
        <f>'1 Key Financial Performance'!A1</f>
        <v>Finance Report Month 6 2011/12 - NHS Ealing, NHS Hillingdon and NHS Hounslow</v>
      </c>
    </row>
    <row r="4" spans="1:8">
      <c r="A4" s="1" t="s">
        <v>205</v>
      </c>
    </row>
    <row r="6" spans="1:8" ht="13.5" thickBot="1"/>
    <row r="7" spans="1:8">
      <c r="A7" s="536" t="s">
        <v>258</v>
      </c>
      <c r="B7" s="537"/>
      <c r="C7" s="537"/>
      <c r="D7" s="537"/>
      <c r="E7" s="538"/>
      <c r="H7"/>
    </row>
    <row r="8" spans="1:8" ht="13.5" thickBot="1">
      <c r="A8" s="539" t="s">
        <v>48</v>
      </c>
      <c r="B8" s="540"/>
      <c r="C8" s="540"/>
      <c r="D8" s="540"/>
      <c r="E8" s="541"/>
      <c r="H8"/>
    </row>
    <row r="9" spans="1:8" ht="13.5" thickBot="1">
      <c r="A9" s="197"/>
      <c r="B9" s="197"/>
      <c r="C9" s="197"/>
      <c r="D9" s="197"/>
      <c r="E9" s="197"/>
      <c r="H9"/>
    </row>
    <row r="10" spans="1:8">
      <c r="A10" s="283" t="s">
        <v>223</v>
      </c>
      <c r="B10" s="284" t="s">
        <v>169</v>
      </c>
      <c r="C10" s="284" t="s">
        <v>170</v>
      </c>
      <c r="D10" s="284" t="s">
        <v>171</v>
      </c>
      <c r="E10" s="285" t="s">
        <v>45</v>
      </c>
      <c r="H10"/>
    </row>
    <row r="11" spans="1:8">
      <c r="A11" s="258"/>
      <c r="B11" s="198"/>
      <c r="C11" s="198"/>
      <c r="D11" s="198"/>
      <c r="E11" s="259"/>
      <c r="H11"/>
    </row>
    <row r="12" spans="1:8">
      <c r="A12" s="261" t="s">
        <v>172</v>
      </c>
      <c r="B12" s="198"/>
      <c r="C12" s="198"/>
      <c r="D12" s="198"/>
      <c r="E12" s="259"/>
      <c r="H12"/>
    </row>
    <row r="13" spans="1:8" s="156" customFormat="1">
      <c r="A13" s="258" t="s">
        <v>253</v>
      </c>
      <c r="B13" s="198">
        <v>0</v>
      </c>
      <c r="C13" s="198">
        <v>4</v>
      </c>
      <c r="D13" s="198">
        <v>322</v>
      </c>
      <c r="E13" s="259">
        <f>SUM(B13:D13)</f>
        <v>326</v>
      </c>
      <c r="F13" s="260"/>
      <c r="G13" s="260"/>
    </row>
    <row r="14" spans="1:8" s="156" customFormat="1">
      <c r="A14" s="258" t="s">
        <v>251</v>
      </c>
      <c r="B14" s="198">
        <v>167</v>
      </c>
      <c r="C14" s="198">
        <v>-95</v>
      </c>
      <c r="D14" s="198">
        <v>115</v>
      </c>
      <c r="E14" s="259">
        <f>SUM(B14:D14)</f>
        <v>187</v>
      </c>
      <c r="F14" s="260"/>
      <c r="G14" s="260"/>
    </row>
    <row r="15" spans="1:8" s="156" customFormat="1">
      <c r="A15" s="258" t="s">
        <v>198</v>
      </c>
      <c r="B15" s="198">
        <v>0</v>
      </c>
      <c r="C15" s="198">
        <v>0</v>
      </c>
      <c r="D15" s="198">
        <v>62</v>
      </c>
      <c r="E15" s="259">
        <f>SUM(B15:D15)</f>
        <v>62</v>
      </c>
      <c r="F15" s="260"/>
      <c r="G15" s="260"/>
    </row>
    <row r="16" spans="1:8" s="156" customFormat="1">
      <c r="A16" s="258" t="s">
        <v>174</v>
      </c>
      <c r="B16" s="198">
        <v>372</v>
      </c>
      <c r="C16" s="198">
        <v>0</v>
      </c>
      <c r="D16" s="198">
        <v>0</v>
      </c>
      <c r="E16" s="259">
        <f>SUM(B16:D16)</f>
        <v>372</v>
      </c>
      <c r="F16" s="260"/>
      <c r="G16" s="260"/>
    </row>
    <row r="17" spans="1:8" s="156" customFormat="1">
      <c r="A17" s="258" t="s">
        <v>252</v>
      </c>
      <c r="B17" s="198">
        <v>139</v>
      </c>
      <c r="C17" s="198">
        <v>0</v>
      </c>
      <c r="D17" s="198">
        <v>46</v>
      </c>
      <c r="E17" s="259">
        <f>SUM(B17:D17)</f>
        <v>185</v>
      </c>
      <c r="F17" s="260"/>
      <c r="G17" s="260"/>
    </row>
    <row r="18" spans="1:8" s="156" customFormat="1">
      <c r="A18" s="258"/>
      <c r="B18" s="198"/>
      <c r="C18" s="198"/>
      <c r="D18" s="198"/>
      <c r="E18" s="259"/>
      <c r="F18" s="260"/>
      <c r="G18" s="260"/>
    </row>
    <row r="19" spans="1:8" s="156" customFormat="1">
      <c r="A19" s="261" t="s">
        <v>175</v>
      </c>
      <c r="B19" s="198"/>
      <c r="C19" s="198"/>
      <c r="D19" s="198"/>
      <c r="E19" s="259"/>
      <c r="F19" s="260"/>
      <c r="G19" s="260"/>
    </row>
    <row r="20" spans="1:8" s="156" customFormat="1">
      <c r="A20" s="258" t="s">
        <v>254</v>
      </c>
      <c r="B20" s="198">
        <v>0</v>
      </c>
      <c r="C20" s="198">
        <v>0</v>
      </c>
      <c r="D20" s="198">
        <v>66</v>
      </c>
      <c r="E20" s="259">
        <f>B20+C20+D20</f>
        <v>66</v>
      </c>
      <c r="F20" s="260"/>
      <c r="G20" s="260"/>
    </row>
    <row r="21" spans="1:8" s="156" customFormat="1">
      <c r="A21" s="261"/>
      <c r="B21" s="198"/>
      <c r="C21" s="198"/>
      <c r="D21" s="198"/>
      <c r="E21" s="259"/>
      <c r="F21" s="260"/>
      <c r="G21" s="260"/>
    </row>
    <row r="22" spans="1:8" s="156" customFormat="1">
      <c r="A22" s="286" t="s">
        <v>224</v>
      </c>
      <c r="B22" s="282">
        <f>SUM(B13:B21)</f>
        <v>678</v>
      </c>
      <c r="C22" s="282">
        <f>SUM(C13:C21)</f>
        <v>-91</v>
      </c>
      <c r="D22" s="282">
        <f>SUM(D13:D21)</f>
        <v>611</v>
      </c>
      <c r="E22" s="287">
        <f>SUM(E13:E21)</f>
        <v>1198</v>
      </c>
      <c r="F22" s="260"/>
      <c r="G22" s="260"/>
    </row>
    <row r="23" spans="1:8" s="156" customFormat="1">
      <c r="A23" s="286"/>
      <c r="B23" s="282"/>
      <c r="C23" s="282"/>
      <c r="D23" s="282"/>
      <c r="E23" s="287"/>
      <c r="F23" s="260"/>
      <c r="G23" s="260"/>
    </row>
    <row r="24" spans="1:8" s="156" customFormat="1">
      <c r="A24" s="288" t="s">
        <v>225</v>
      </c>
      <c r="B24" s="191">
        <f>B26-B22</f>
        <v>86</v>
      </c>
      <c r="C24" s="191">
        <f>C26-C22</f>
        <v>35</v>
      </c>
      <c r="D24" s="191">
        <f>D26-D22</f>
        <v>249</v>
      </c>
      <c r="E24" s="289">
        <f>SUM(B24:D24)</f>
        <v>370</v>
      </c>
      <c r="F24" s="260"/>
      <c r="G24" s="260"/>
    </row>
    <row r="25" spans="1:8" s="156" customFormat="1">
      <c r="A25" s="288"/>
      <c r="B25" s="191"/>
      <c r="C25" s="191"/>
      <c r="D25" s="191"/>
      <c r="E25" s="289"/>
      <c r="F25" s="260"/>
      <c r="G25" s="260"/>
    </row>
    <row r="26" spans="1:8" s="156" customFormat="1" ht="13.5" thickBot="1">
      <c r="A26" s="290" t="s">
        <v>226</v>
      </c>
      <c r="B26" s="291">
        <v>764</v>
      </c>
      <c r="C26" s="291">
        <v>-56</v>
      </c>
      <c r="D26" s="291">
        <v>860</v>
      </c>
      <c r="E26" s="292">
        <f>SUM(E22:E24)</f>
        <v>1568</v>
      </c>
      <c r="F26" s="260"/>
      <c r="G26" s="260"/>
    </row>
    <row r="27" spans="1:8" ht="13.5" thickBot="1">
      <c r="A27" s="205"/>
      <c r="B27" s="205"/>
      <c r="C27" s="205"/>
      <c r="D27" s="315"/>
      <c r="E27" s="260"/>
      <c r="H27"/>
    </row>
    <row r="28" spans="1:8">
      <c r="A28" s="283" t="s">
        <v>180</v>
      </c>
      <c r="B28" s="284" t="s">
        <v>169</v>
      </c>
      <c r="C28" s="284" t="s">
        <v>170</v>
      </c>
      <c r="D28" s="284" t="s">
        <v>171</v>
      </c>
      <c r="E28" s="285" t="s">
        <v>45</v>
      </c>
      <c r="H28"/>
    </row>
    <row r="29" spans="1:8">
      <c r="A29" s="258"/>
      <c r="B29" s="198"/>
      <c r="C29" s="198"/>
      <c r="D29" s="198"/>
      <c r="E29" s="259"/>
      <c r="H29"/>
    </row>
    <row r="30" spans="1:8">
      <c r="A30" s="261" t="s">
        <v>172</v>
      </c>
      <c r="B30" s="198"/>
      <c r="C30" s="198"/>
      <c r="D30" s="198"/>
      <c r="E30" s="259"/>
      <c r="H30"/>
    </row>
    <row r="31" spans="1:8">
      <c r="A31" s="258" t="s">
        <v>173</v>
      </c>
      <c r="B31" s="198">
        <v>0</v>
      </c>
      <c r="C31" s="198">
        <v>55</v>
      </c>
      <c r="D31" s="198">
        <v>825</v>
      </c>
      <c r="E31" s="259">
        <f t="shared" ref="E31:E34" si="0">SUM(B31:D31)</f>
        <v>880</v>
      </c>
      <c r="H31"/>
    </row>
    <row r="32" spans="1:8">
      <c r="A32" s="258" t="s">
        <v>198</v>
      </c>
      <c r="B32" s="198">
        <v>0</v>
      </c>
      <c r="C32" s="198">
        <v>4</v>
      </c>
      <c r="D32" s="198">
        <v>423</v>
      </c>
      <c r="E32" s="259">
        <f t="shared" si="0"/>
        <v>427</v>
      </c>
      <c r="H32"/>
    </row>
    <row r="33" spans="1:8">
      <c r="A33" s="258" t="s">
        <v>259</v>
      </c>
      <c r="B33" s="198">
        <v>0</v>
      </c>
      <c r="C33" s="198">
        <v>24</v>
      </c>
      <c r="D33" s="198">
        <v>36</v>
      </c>
      <c r="E33" s="259">
        <f t="shared" si="0"/>
        <v>60</v>
      </c>
      <c r="H33"/>
    </row>
    <row r="34" spans="1:8">
      <c r="A34" s="258" t="s">
        <v>260</v>
      </c>
      <c r="B34" s="198">
        <v>0</v>
      </c>
      <c r="C34" s="198">
        <v>92</v>
      </c>
      <c r="D34" s="198">
        <v>1</v>
      </c>
      <c r="E34" s="259">
        <f t="shared" si="0"/>
        <v>93</v>
      </c>
      <c r="H34"/>
    </row>
    <row r="35" spans="1:8">
      <c r="A35" s="258"/>
      <c r="B35" s="198"/>
      <c r="C35" s="198"/>
      <c r="D35" s="198"/>
      <c r="E35" s="259"/>
      <c r="H35"/>
    </row>
    <row r="36" spans="1:8">
      <c r="A36" s="261" t="s">
        <v>175</v>
      </c>
      <c r="B36" s="198"/>
      <c r="C36" s="198"/>
      <c r="D36" s="198"/>
      <c r="E36" s="259"/>
      <c r="H36"/>
    </row>
    <row r="37" spans="1:8">
      <c r="A37" s="258" t="s">
        <v>176</v>
      </c>
      <c r="B37" s="198">
        <v>0</v>
      </c>
      <c r="C37" s="198">
        <v>26</v>
      </c>
      <c r="D37" s="198">
        <v>948</v>
      </c>
      <c r="E37" s="259">
        <f>B37+C37+D37</f>
        <v>974</v>
      </c>
      <c r="H37"/>
    </row>
    <row r="38" spans="1:8">
      <c r="A38" s="288"/>
      <c r="B38" s="198"/>
      <c r="C38" s="198"/>
      <c r="D38" s="198"/>
      <c r="E38" s="259">
        <f>B38+C38+D38</f>
        <v>0</v>
      </c>
      <c r="H38"/>
    </row>
    <row r="39" spans="1:8">
      <c r="A39" s="261"/>
      <c r="B39" s="198"/>
      <c r="C39" s="198"/>
      <c r="D39" s="198"/>
      <c r="E39" s="259"/>
      <c r="H39"/>
    </row>
    <row r="40" spans="1:8">
      <c r="A40" s="286" t="s">
        <v>181</v>
      </c>
      <c r="B40" s="282">
        <f>SUM(B31:B38)</f>
        <v>0</v>
      </c>
      <c r="C40" s="282">
        <f>SUM(C31:C38)</f>
        <v>201</v>
      </c>
      <c r="D40" s="282">
        <f>SUM(D31:D38)</f>
        <v>2233</v>
      </c>
      <c r="E40" s="287">
        <f>SUM(E31:E38)</f>
        <v>2434</v>
      </c>
      <c r="H40"/>
    </row>
    <row r="41" spans="1:8">
      <c r="A41" s="286"/>
      <c r="B41" s="282"/>
      <c r="C41" s="282"/>
      <c r="D41" s="282"/>
      <c r="E41" s="287"/>
      <c r="H41"/>
    </row>
    <row r="42" spans="1:8">
      <c r="A42" s="288" t="s">
        <v>182</v>
      </c>
      <c r="B42" s="191">
        <v>0</v>
      </c>
      <c r="C42" s="191">
        <v>13</v>
      </c>
      <c r="D42" s="191">
        <v>276</v>
      </c>
      <c r="E42" s="289">
        <f>SUM(B42:D42)</f>
        <v>289</v>
      </c>
      <c r="H42"/>
    </row>
    <row r="43" spans="1:8">
      <c r="A43" s="288"/>
      <c r="B43" s="191"/>
      <c r="C43" s="191"/>
      <c r="D43" s="191"/>
      <c r="E43" s="289"/>
      <c r="H43"/>
    </row>
    <row r="44" spans="1:8" ht="13.5" thickBot="1">
      <c r="A44" s="290" t="s">
        <v>183</v>
      </c>
      <c r="B44" s="291">
        <v>0</v>
      </c>
      <c r="C44" s="291">
        <f>C40+C42</f>
        <v>214</v>
      </c>
      <c r="D44" s="291">
        <f>D40+D42</f>
        <v>2509</v>
      </c>
      <c r="E44" s="292">
        <f>SUM(E40:E42)</f>
        <v>2723</v>
      </c>
      <c r="H44"/>
    </row>
    <row r="45" spans="1:8" ht="13.5" thickBot="1">
      <c r="A45" s="205"/>
      <c r="B45" s="205"/>
      <c r="C45" s="205"/>
      <c r="D45" s="315"/>
      <c r="E45" s="260"/>
      <c r="H45"/>
    </row>
    <row r="46" spans="1:8">
      <c r="A46" s="283" t="s">
        <v>227</v>
      </c>
      <c r="B46" s="284" t="s">
        <v>169</v>
      </c>
      <c r="C46" s="284" t="s">
        <v>170</v>
      </c>
      <c r="D46" s="284" t="s">
        <v>171</v>
      </c>
      <c r="E46" s="285" t="s">
        <v>45</v>
      </c>
      <c r="H46"/>
    </row>
    <row r="47" spans="1:8">
      <c r="A47" s="258"/>
      <c r="B47" s="198"/>
      <c r="C47" s="198"/>
      <c r="D47" s="198"/>
      <c r="E47" s="259"/>
      <c r="H47"/>
    </row>
    <row r="48" spans="1:8">
      <c r="A48" s="261" t="s">
        <v>172</v>
      </c>
      <c r="B48" s="198"/>
      <c r="C48" s="198"/>
      <c r="D48" s="198"/>
      <c r="E48" s="259"/>
      <c r="H48"/>
    </row>
    <row r="49" spans="1:11" ht="13.5" thickBot="1">
      <c r="A49" s="288" t="s">
        <v>174</v>
      </c>
      <c r="B49" s="338">
        <v>161</v>
      </c>
      <c r="C49" s="338">
        <v>146</v>
      </c>
      <c r="D49" s="338">
        <v>53</v>
      </c>
      <c r="E49" s="339">
        <f>SUM(B49:D49)</f>
        <v>360</v>
      </c>
      <c r="H49"/>
    </row>
    <row r="50" spans="1:11" ht="13.5" thickBot="1">
      <c r="A50" s="288" t="s">
        <v>252</v>
      </c>
      <c r="B50" s="338">
        <v>0</v>
      </c>
      <c r="C50" s="338">
        <v>139</v>
      </c>
      <c r="D50" s="338">
        <v>0</v>
      </c>
      <c r="E50" s="339">
        <f>SUM(B50:D50)</f>
        <v>139</v>
      </c>
      <c r="G50" s="532" t="s">
        <v>46</v>
      </c>
      <c r="H50" s="533"/>
      <c r="I50" s="533"/>
      <c r="J50" s="533"/>
      <c r="K50" s="534"/>
    </row>
    <row r="51" spans="1:11">
      <c r="A51" s="288"/>
      <c r="B51" s="338"/>
      <c r="C51" s="338"/>
      <c r="D51" s="338"/>
      <c r="E51" s="339"/>
      <c r="G51" s="265"/>
      <c r="H51" s="266"/>
      <c r="I51" s="266"/>
      <c r="J51" s="266"/>
      <c r="K51" s="267"/>
    </row>
    <row r="52" spans="1:11" ht="12.75" customHeight="1">
      <c r="A52" s="261" t="s">
        <v>175</v>
      </c>
      <c r="B52" s="338"/>
      <c r="C52" s="338"/>
      <c r="D52" s="338"/>
      <c r="E52" s="339"/>
      <c r="G52" s="535" t="s">
        <v>300</v>
      </c>
      <c r="H52" s="512"/>
      <c r="I52" s="512"/>
      <c r="J52" s="512"/>
      <c r="K52" s="528"/>
    </row>
    <row r="53" spans="1:11" ht="12.75" customHeight="1">
      <c r="A53" s="340" t="s">
        <v>304</v>
      </c>
      <c r="B53" s="338">
        <v>0</v>
      </c>
      <c r="C53" s="338">
        <v>0</v>
      </c>
      <c r="D53" s="338">
        <v>192</v>
      </c>
      <c r="E53" s="339">
        <f>SUM(B53:D53)</f>
        <v>192</v>
      </c>
      <c r="G53" s="535"/>
      <c r="H53" s="512"/>
      <c r="I53" s="512"/>
      <c r="J53" s="512"/>
      <c r="K53" s="528"/>
    </row>
    <row r="54" spans="1:11" ht="12.75" customHeight="1">
      <c r="A54" s="340" t="s">
        <v>305</v>
      </c>
      <c r="B54" s="338">
        <v>0</v>
      </c>
      <c r="C54" s="338">
        <v>0</v>
      </c>
      <c r="D54" s="338">
        <v>213</v>
      </c>
      <c r="E54" s="339">
        <f>SUM(B54:D54)</f>
        <v>213</v>
      </c>
      <c r="G54" s="535"/>
      <c r="H54" s="512"/>
      <c r="I54" s="512"/>
      <c r="J54" s="512"/>
      <c r="K54" s="528"/>
    </row>
    <row r="55" spans="1:11" ht="12.75" customHeight="1">
      <c r="A55" s="340" t="s">
        <v>306</v>
      </c>
      <c r="B55" s="338">
        <v>0</v>
      </c>
      <c r="C55" s="338">
        <v>0</v>
      </c>
      <c r="D55" s="338">
        <v>75</v>
      </c>
      <c r="E55" s="339">
        <f>SUM(B55:D55)</f>
        <v>75</v>
      </c>
      <c r="G55" s="535"/>
      <c r="H55" s="512"/>
      <c r="I55" s="512"/>
      <c r="J55" s="512"/>
      <c r="K55" s="528"/>
    </row>
    <row r="56" spans="1:11" ht="12.75" customHeight="1">
      <c r="A56" s="340" t="s">
        <v>307</v>
      </c>
      <c r="B56" s="338">
        <v>0</v>
      </c>
      <c r="C56" s="338">
        <v>0</v>
      </c>
      <c r="D56" s="338">
        <v>71</v>
      </c>
      <c r="E56" s="339">
        <f>SUM(B56:D56)</f>
        <v>71</v>
      </c>
      <c r="G56" s="535"/>
      <c r="H56" s="512"/>
      <c r="I56" s="512"/>
      <c r="J56" s="512"/>
      <c r="K56" s="528"/>
    </row>
    <row r="57" spans="1:11" ht="12.75" customHeight="1">
      <c r="A57" s="340" t="s">
        <v>308</v>
      </c>
      <c r="B57" s="338">
        <v>0</v>
      </c>
      <c r="C57" s="338">
        <v>0</v>
      </c>
      <c r="D57" s="338">
        <v>66</v>
      </c>
      <c r="E57" s="339">
        <f>SUM(B57:D57)</f>
        <v>66</v>
      </c>
      <c r="G57" s="535"/>
      <c r="H57" s="512"/>
      <c r="I57" s="512"/>
      <c r="J57" s="512"/>
      <c r="K57" s="528"/>
    </row>
    <row r="58" spans="1:11" ht="12.75" customHeight="1">
      <c r="A58" s="261"/>
      <c r="B58" s="338"/>
      <c r="C58" s="338"/>
      <c r="D58" s="338"/>
      <c r="E58" s="339"/>
      <c r="G58" s="535"/>
      <c r="H58" s="512"/>
      <c r="I58" s="512"/>
      <c r="J58" s="512"/>
      <c r="K58" s="528"/>
    </row>
    <row r="59" spans="1:11" ht="12.75" customHeight="1">
      <c r="A59" s="286" t="s">
        <v>230</v>
      </c>
      <c r="B59" s="282">
        <f>SUM(B49:B58)</f>
        <v>161</v>
      </c>
      <c r="C59" s="282">
        <f>SUM(C49:C58)</f>
        <v>285</v>
      </c>
      <c r="D59" s="282">
        <f>SUM(D49:D58)</f>
        <v>670</v>
      </c>
      <c r="E59" s="287">
        <f>SUM(E49:E58)</f>
        <v>1116</v>
      </c>
      <c r="G59" s="535"/>
      <c r="H59" s="512"/>
      <c r="I59" s="512"/>
      <c r="J59" s="512"/>
      <c r="K59" s="528"/>
    </row>
    <row r="60" spans="1:11" ht="12.75" customHeight="1">
      <c r="A60" s="286"/>
      <c r="B60" s="282"/>
      <c r="C60" s="282"/>
      <c r="D60" s="282"/>
      <c r="E60" s="287"/>
      <c r="G60" s="535"/>
      <c r="H60" s="512"/>
      <c r="I60" s="512"/>
      <c r="J60" s="512"/>
      <c r="K60" s="528"/>
    </row>
    <row r="61" spans="1:11">
      <c r="A61" s="288" t="s">
        <v>229</v>
      </c>
      <c r="B61" s="191">
        <f>B63-B59</f>
        <v>26</v>
      </c>
      <c r="C61" s="191">
        <f>C63-C59</f>
        <v>44</v>
      </c>
      <c r="D61" s="191">
        <f>D63-D59</f>
        <v>566</v>
      </c>
      <c r="E61" s="289">
        <f>SUM(B61:D61)</f>
        <v>636</v>
      </c>
      <c r="G61" s="527"/>
      <c r="H61" s="512"/>
      <c r="I61" s="512"/>
      <c r="J61" s="512"/>
      <c r="K61" s="528"/>
    </row>
    <row r="62" spans="1:11">
      <c r="A62" s="288"/>
      <c r="B62" s="191"/>
      <c r="C62" s="191"/>
      <c r="D62" s="191"/>
      <c r="E62" s="289"/>
      <c r="G62" s="527"/>
      <c r="H62" s="512"/>
      <c r="I62" s="512"/>
      <c r="J62" s="512"/>
      <c r="K62" s="528"/>
    </row>
    <row r="63" spans="1:11" ht="13.5" thickBot="1">
      <c r="A63" s="290" t="s">
        <v>228</v>
      </c>
      <c r="B63" s="291">
        <v>187</v>
      </c>
      <c r="C63" s="291">
        <v>329</v>
      </c>
      <c r="D63" s="291">
        <v>1236</v>
      </c>
      <c r="E63" s="292">
        <f>SUM(E59:E61)</f>
        <v>1752</v>
      </c>
      <c r="G63" s="527"/>
      <c r="H63" s="512"/>
      <c r="I63" s="512"/>
      <c r="J63" s="512"/>
      <c r="K63" s="528"/>
    </row>
    <row r="64" spans="1:11" ht="13.5" thickBot="1">
      <c r="A64" s="197"/>
      <c r="B64" s="197"/>
      <c r="C64" s="197"/>
      <c r="D64" s="197"/>
      <c r="E64" s="197"/>
      <c r="G64" s="527"/>
      <c r="H64" s="512"/>
      <c r="I64" s="512"/>
      <c r="J64" s="512"/>
      <c r="K64" s="528"/>
    </row>
    <row r="65" spans="1:11" ht="13.5" thickBot="1">
      <c r="A65" s="213" t="s">
        <v>178</v>
      </c>
      <c r="B65" s="214">
        <f>B26+B44+B63</f>
        <v>951</v>
      </c>
      <c r="C65" s="214">
        <f>C26+C44+C63</f>
        <v>487</v>
      </c>
      <c r="D65" s="214">
        <f>D26+D44+D63</f>
        <v>4605</v>
      </c>
      <c r="E65" s="293">
        <f>E26+E44+E63</f>
        <v>6043</v>
      </c>
      <c r="G65" s="527"/>
      <c r="H65" s="512"/>
      <c r="I65" s="512"/>
      <c r="J65" s="512"/>
      <c r="K65" s="528"/>
    </row>
    <row r="66" spans="1:11">
      <c r="G66" s="527"/>
      <c r="H66" s="512"/>
      <c r="I66" s="512"/>
      <c r="J66" s="512"/>
      <c r="K66" s="528"/>
    </row>
    <row r="67" spans="1:11" ht="13.5" thickBot="1">
      <c r="G67" s="529"/>
      <c r="H67" s="530"/>
      <c r="I67" s="530"/>
      <c r="J67" s="530"/>
      <c r="K67" s="531"/>
    </row>
    <row r="68" spans="1:11">
      <c r="G68" s="262"/>
      <c r="H68" s="179"/>
      <c r="I68" s="179"/>
      <c r="J68" s="179"/>
      <c r="K68" s="179"/>
    </row>
    <row r="69" spans="1:11">
      <c r="G69" s="262"/>
      <c r="H69" s="179"/>
      <c r="I69" s="179"/>
      <c r="J69" s="179"/>
      <c r="K69" s="179"/>
    </row>
  </sheetData>
  <customSheetViews>
    <customSheetView guid="{14394872-1C6D-42D5-AD0E-8F152B5DEE00}" showGridLines="0" fitToPage="1" topLeftCell="B28">
      <selection activeCell="H43" sqref="H43"/>
      <pageMargins left="0.75" right="0.75" top="1" bottom="1" header="0.5" footer="0.5"/>
      <pageSetup paperSize="9" scale="48" orientation="landscape" r:id="rId1"/>
      <headerFooter alignWithMargins="0"/>
    </customSheetView>
  </customSheetViews>
  <mergeCells count="5">
    <mergeCell ref="G63:K67"/>
    <mergeCell ref="G50:K50"/>
    <mergeCell ref="G52:K62"/>
    <mergeCell ref="A7:E7"/>
    <mergeCell ref="A8:E8"/>
  </mergeCells>
  <phoneticPr fontId="2" type="noConversion"/>
  <pageMargins left="0.75" right="0.75" top="1" bottom="1" header="0.5" footer="0.5"/>
  <pageSetup paperSize="9" scale="48"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sheetPr codeName="Sheet20">
    <pageSetUpPr fitToPage="1"/>
  </sheetPr>
  <dimension ref="A1:I57"/>
  <sheetViews>
    <sheetView showGridLines="0" topLeftCell="A33" workbookViewId="0">
      <selection activeCell="C60" sqref="C60"/>
    </sheetView>
  </sheetViews>
  <sheetFormatPr defaultRowHeight="12.75"/>
  <cols>
    <col min="1" max="1" width="38.28515625" style="197" customWidth="1"/>
    <col min="2" max="2" width="1.7109375" style="197" customWidth="1"/>
    <col min="3" max="3" width="78.85546875" style="197" bestFit="1" customWidth="1"/>
    <col min="4" max="4" width="1.7109375" style="197" customWidth="1"/>
    <col min="5" max="5" width="10.140625" style="197" bestFit="1" customWidth="1"/>
    <col min="6" max="7" width="9.140625" style="197"/>
    <col min="8" max="8" width="1.7109375" style="197" customWidth="1"/>
    <col min="9" max="16384" width="9.140625" style="197"/>
  </cols>
  <sheetData>
    <row r="1" spans="1:9">
      <c r="A1" s="279" t="str">
        <f>Index!B1</f>
        <v>Finance Report Month 6 2011/12 - NHS Ealing, NHS Hillingdon and NHS Hounslow</v>
      </c>
      <c r="B1" s="279"/>
      <c r="C1" s="279"/>
    </row>
    <row r="4" spans="1:9">
      <c r="A4" s="1" t="s">
        <v>202</v>
      </c>
      <c r="B4" s="1"/>
      <c r="C4" s="189"/>
      <c r="E4" s="189"/>
    </row>
    <row r="6" spans="1:9">
      <c r="A6" s="43"/>
      <c r="B6" s="182"/>
      <c r="C6" s="43"/>
      <c r="E6" s="269" t="s">
        <v>255</v>
      </c>
      <c r="F6" s="270" t="s">
        <v>195</v>
      </c>
      <c r="G6" s="271" t="s">
        <v>196</v>
      </c>
      <c r="I6" s="271" t="s">
        <v>23</v>
      </c>
    </row>
    <row r="7" spans="1:9">
      <c r="A7" s="280" t="s">
        <v>231</v>
      </c>
      <c r="B7" s="182"/>
      <c r="C7" s="280" t="s">
        <v>4</v>
      </c>
      <c r="E7" s="272" t="s">
        <v>192</v>
      </c>
      <c r="F7" s="273" t="s">
        <v>193</v>
      </c>
      <c r="G7" s="274" t="s">
        <v>48</v>
      </c>
      <c r="I7" s="274"/>
    </row>
    <row r="8" spans="1:9">
      <c r="A8" s="44"/>
      <c r="B8" s="182"/>
      <c r="C8" s="44"/>
      <c r="E8" s="183" t="s">
        <v>48</v>
      </c>
      <c r="F8" s="184" t="s">
        <v>48</v>
      </c>
      <c r="G8" s="185"/>
      <c r="I8" s="185"/>
    </row>
    <row r="9" spans="1:9">
      <c r="B9" s="205"/>
    </row>
    <row r="10" spans="1:9">
      <c r="A10" s="208" t="s">
        <v>263</v>
      </c>
      <c r="B10" s="198"/>
      <c r="C10" s="208" t="s">
        <v>266</v>
      </c>
      <c r="E10" s="208">
        <v>500</v>
      </c>
      <c r="F10" s="208">
        <v>0</v>
      </c>
      <c r="G10" s="208">
        <f>E10-F10</f>
        <v>500</v>
      </c>
      <c r="I10" s="329" t="s">
        <v>12</v>
      </c>
    </row>
    <row r="11" spans="1:9">
      <c r="A11" s="208" t="s">
        <v>264</v>
      </c>
      <c r="B11" s="198"/>
      <c r="C11" s="208" t="s">
        <v>265</v>
      </c>
      <c r="E11" s="208">
        <v>20</v>
      </c>
      <c r="F11" s="208">
        <v>0</v>
      </c>
      <c r="G11" s="208">
        <f>E11-F11</f>
        <v>20</v>
      </c>
      <c r="I11" s="329" t="s">
        <v>12</v>
      </c>
    </row>
    <row r="12" spans="1:9">
      <c r="A12" s="208" t="s">
        <v>269</v>
      </c>
      <c r="B12" s="198"/>
      <c r="C12" s="208" t="s">
        <v>270</v>
      </c>
      <c r="E12" s="208">
        <v>400</v>
      </c>
      <c r="F12" s="208">
        <v>0</v>
      </c>
      <c r="G12" s="208">
        <f>E12-F12</f>
        <v>400</v>
      </c>
      <c r="I12" s="329" t="s">
        <v>12</v>
      </c>
    </row>
    <row r="13" spans="1:9">
      <c r="A13" s="281" t="s">
        <v>194</v>
      </c>
      <c r="B13" s="198"/>
      <c r="C13" s="281" t="s">
        <v>197</v>
      </c>
      <c r="E13" s="208">
        <v>80</v>
      </c>
      <c r="F13" s="208">
        <v>0</v>
      </c>
      <c r="G13" s="208">
        <f>E13-F13</f>
        <v>80</v>
      </c>
      <c r="I13" s="329" t="s">
        <v>12</v>
      </c>
    </row>
    <row r="14" spans="1:9">
      <c r="B14" s="205"/>
    </row>
    <row r="15" spans="1:9">
      <c r="A15" s="45" t="s">
        <v>45</v>
      </c>
      <c r="B15" s="282"/>
      <c r="C15" s="45"/>
      <c r="E15" s="275">
        <f>SUM(E10:E14)</f>
        <v>1000</v>
      </c>
      <c r="F15" s="276">
        <f>SUM(F10:F14)</f>
        <v>0</v>
      </c>
      <c r="G15" s="277">
        <f>SUM(G10:G14)</f>
        <v>1000</v>
      </c>
      <c r="I15" s="278" t="s">
        <v>12</v>
      </c>
    </row>
    <row r="18" spans="1:9" ht="14.25" customHeight="1">
      <c r="A18" s="43"/>
      <c r="B18" s="182"/>
      <c r="C18" s="43"/>
      <c r="E18" s="269" t="s">
        <v>255</v>
      </c>
      <c r="F18" s="270" t="s">
        <v>195</v>
      </c>
      <c r="G18" s="271" t="s">
        <v>196</v>
      </c>
      <c r="I18" s="271" t="s">
        <v>23</v>
      </c>
    </row>
    <row r="19" spans="1:9">
      <c r="A19" s="280" t="s">
        <v>232</v>
      </c>
      <c r="B19" s="182"/>
      <c r="C19" s="280" t="s">
        <v>4</v>
      </c>
      <c r="E19" s="272" t="s">
        <v>192</v>
      </c>
      <c r="F19" s="273" t="s">
        <v>193</v>
      </c>
      <c r="G19" s="274" t="s">
        <v>48</v>
      </c>
      <c r="I19" s="274"/>
    </row>
    <row r="20" spans="1:9">
      <c r="A20" s="44"/>
      <c r="B20" s="182"/>
      <c r="C20" s="44"/>
      <c r="E20" s="183" t="s">
        <v>48</v>
      </c>
      <c r="F20" s="184" t="s">
        <v>48</v>
      </c>
      <c r="G20" s="185"/>
      <c r="I20" s="185"/>
    </row>
    <row r="21" spans="1:9">
      <c r="B21" s="205"/>
    </row>
    <row r="22" spans="1:9">
      <c r="A22" s="208" t="s">
        <v>242</v>
      </c>
      <c r="B22" s="198"/>
      <c r="C22" s="208" t="s">
        <v>243</v>
      </c>
      <c r="E22" s="208">
        <v>200</v>
      </c>
      <c r="F22" s="208">
        <v>8</v>
      </c>
      <c r="G22" s="208">
        <f t="shared" ref="G22:G30" si="0">E22-F22</f>
        <v>192</v>
      </c>
      <c r="I22" s="294" t="s">
        <v>12</v>
      </c>
    </row>
    <row r="23" spans="1:9">
      <c r="A23" s="208" t="s">
        <v>244</v>
      </c>
      <c r="B23" s="198"/>
      <c r="C23" s="208" t="s">
        <v>245</v>
      </c>
      <c r="E23" s="208">
        <v>20</v>
      </c>
      <c r="F23" s="208">
        <v>0</v>
      </c>
      <c r="G23" s="208">
        <f t="shared" si="0"/>
        <v>20</v>
      </c>
      <c r="I23" s="294" t="s">
        <v>12</v>
      </c>
    </row>
    <row r="24" spans="1:9">
      <c r="A24" s="208" t="s">
        <v>267</v>
      </c>
      <c r="B24" s="198"/>
      <c r="C24" s="208" t="s">
        <v>268</v>
      </c>
      <c r="E24" s="208">
        <v>524</v>
      </c>
      <c r="F24" s="208">
        <v>0</v>
      </c>
      <c r="G24" s="208">
        <f t="shared" si="0"/>
        <v>524</v>
      </c>
      <c r="I24" s="295" t="s">
        <v>12</v>
      </c>
    </row>
    <row r="25" spans="1:9">
      <c r="A25" s="208" t="s">
        <v>269</v>
      </c>
      <c r="B25" s="198"/>
      <c r="C25" s="208" t="s">
        <v>271</v>
      </c>
      <c r="E25" s="208">
        <v>390</v>
      </c>
      <c r="F25" s="208">
        <v>190</v>
      </c>
      <c r="G25" s="208">
        <f t="shared" si="0"/>
        <v>200</v>
      </c>
      <c r="I25" s="295" t="s">
        <v>90</v>
      </c>
    </row>
    <row r="26" spans="1:9">
      <c r="A26" s="208" t="s">
        <v>194</v>
      </c>
      <c r="B26" s="198"/>
      <c r="C26" s="208" t="s">
        <v>197</v>
      </c>
      <c r="E26" s="208">
        <f>137+70</f>
        <v>207</v>
      </c>
      <c r="F26" s="208">
        <v>2</v>
      </c>
      <c r="G26" s="208">
        <f t="shared" si="0"/>
        <v>205</v>
      </c>
      <c r="I26" s="295" t="s">
        <v>12</v>
      </c>
    </row>
    <row r="27" spans="1:9" ht="15">
      <c r="A27" s="332" t="s">
        <v>272</v>
      </c>
      <c r="B27" s="198"/>
      <c r="C27" s="208" t="s">
        <v>275</v>
      </c>
      <c r="E27" s="330">
        <v>100</v>
      </c>
      <c r="F27" s="208">
        <v>0</v>
      </c>
      <c r="G27" s="208">
        <f t="shared" si="0"/>
        <v>100</v>
      </c>
      <c r="I27" s="295" t="s">
        <v>12</v>
      </c>
    </row>
    <row r="28" spans="1:9" ht="15">
      <c r="A28" s="332" t="s">
        <v>289</v>
      </c>
      <c r="B28" s="198"/>
      <c r="C28" s="208" t="s">
        <v>276</v>
      </c>
      <c r="E28" s="330">
        <v>130</v>
      </c>
      <c r="F28" s="208">
        <v>0</v>
      </c>
      <c r="G28" s="208">
        <f t="shared" si="0"/>
        <v>130</v>
      </c>
      <c r="I28" s="295" t="s">
        <v>12</v>
      </c>
    </row>
    <row r="29" spans="1:9">
      <c r="A29" s="333" t="s">
        <v>273</v>
      </c>
      <c r="B29" s="198"/>
      <c r="C29" s="208" t="s">
        <v>277</v>
      </c>
      <c r="E29" s="331">
        <v>208</v>
      </c>
      <c r="F29" s="208">
        <v>0</v>
      </c>
      <c r="G29" s="208">
        <f t="shared" si="0"/>
        <v>208</v>
      </c>
      <c r="I29" s="295" t="s">
        <v>12</v>
      </c>
    </row>
    <row r="30" spans="1:9">
      <c r="A30" s="334" t="s">
        <v>274</v>
      </c>
      <c r="B30" s="198"/>
      <c r="C30" s="208" t="s">
        <v>278</v>
      </c>
      <c r="E30" s="331">
        <v>91</v>
      </c>
      <c r="F30" s="208">
        <v>0</v>
      </c>
      <c r="G30" s="208">
        <f t="shared" si="0"/>
        <v>91</v>
      </c>
      <c r="I30" s="295" t="s">
        <v>12</v>
      </c>
    </row>
    <row r="31" spans="1:9">
      <c r="B31" s="205"/>
    </row>
    <row r="32" spans="1:9">
      <c r="A32" s="45" t="s">
        <v>45</v>
      </c>
      <c r="B32" s="282"/>
      <c r="C32" s="45"/>
      <c r="E32" s="275">
        <f>SUM(E22:E31)</f>
        <v>1870</v>
      </c>
      <c r="F32" s="276">
        <f>SUM(F22:F31)</f>
        <v>200</v>
      </c>
      <c r="G32" s="277">
        <f>SUM(G22:G31)</f>
        <v>1670</v>
      </c>
      <c r="I32" s="278" t="s">
        <v>12</v>
      </c>
    </row>
    <row r="35" spans="1:9">
      <c r="A35" s="43"/>
      <c r="B35" s="182"/>
      <c r="C35" s="43"/>
      <c r="E35" s="269" t="s">
        <v>255</v>
      </c>
      <c r="F35" s="270" t="s">
        <v>195</v>
      </c>
      <c r="G35" s="271" t="s">
        <v>196</v>
      </c>
      <c r="I35" s="271" t="s">
        <v>23</v>
      </c>
    </row>
    <row r="36" spans="1:9">
      <c r="A36" s="280" t="s">
        <v>233</v>
      </c>
      <c r="B36" s="182"/>
      <c r="C36" s="280" t="s">
        <v>4</v>
      </c>
      <c r="E36" s="272" t="s">
        <v>192</v>
      </c>
      <c r="F36" s="273" t="s">
        <v>193</v>
      </c>
      <c r="G36" s="274" t="s">
        <v>48</v>
      </c>
      <c r="I36" s="274"/>
    </row>
    <row r="37" spans="1:9">
      <c r="A37" s="44"/>
      <c r="B37" s="182"/>
      <c r="C37" s="44"/>
      <c r="E37" s="183" t="s">
        <v>48</v>
      </c>
      <c r="F37" s="184" t="s">
        <v>48</v>
      </c>
      <c r="G37" s="185"/>
      <c r="I37" s="185"/>
    </row>
    <row r="38" spans="1:9">
      <c r="B38" s="205"/>
    </row>
    <row r="39" spans="1:9">
      <c r="A39" s="335" t="s">
        <v>246</v>
      </c>
      <c r="B39" s="198"/>
      <c r="C39" s="335" t="s">
        <v>247</v>
      </c>
      <c r="E39" s="416">
        <v>32</v>
      </c>
      <c r="F39" s="416">
        <v>0</v>
      </c>
      <c r="G39" s="416">
        <f>E39-F39</f>
        <v>32</v>
      </c>
      <c r="I39" s="67" t="str">
        <f t="shared" ref="I39:I57" si="1">IF(H39&lt;-1%,"RED",IF(H39&gt;=0%,"GREEN","AMBER"))</f>
        <v>GREEN</v>
      </c>
    </row>
    <row r="40" spans="1:9">
      <c r="A40" s="335" t="s">
        <v>248</v>
      </c>
      <c r="B40" s="198"/>
      <c r="C40" s="335" t="s">
        <v>249</v>
      </c>
      <c r="E40" s="416">
        <v>500</v>
      </c>
      <c r="F40" s="416">
        <v>0</v>
      </c>
      <c r="G40" s="416">
        <f>E40-F40</f>
        <v>500</v>
      </c>
      <c r="I40" s="67" t="str">
        <f t="shared" si="1"/>
        <v>GREEN</v>
      </c>
    </row>
    <row r="41" spans="1:9">
      <c r="A41" s="335" t="s">
        <v>250</v>
      </c>
      <c r="B41" s="198"/>
      <c r="C41" s="335" t="s">
        <v>249</v>
      </c>
      <c r="E41" s="416">
        <v>785</v>
      </c>
      <c r="F41" s="416">
        <v>0</v>
      </c>
      <c r="G41" s="416">
        <f>E41-F41</f>
        <v>785</v>
      </c>
      <c r="I41" s="67" t="str">
        <f t="shared" si="1"/>
        <v>GREEN</v>
      </c>
    </row>
    <row r="42" spans="1:9" ht="15">
      <c r="A42" s="332" t="s">
        <v>279</v>
      </c>
      <c r="B42" s="198"/>
      <c r="C42" s="335" t="s">
        <v>296</v>
      </c>
      <c r="E42" s="416">
        <v>810</v>
      </c>
      <c r="F42" s="416"/>
      <c r="G42" s="416">
        <f t="shared" ref="G42:G55" si="2">E42-F42</f>
        <v>810</v>
      </c>
      <c r="I42" s="67" t="str">
        <f t="shared" si="1"/>
        <v>GREEN</v>
      </c>
    </row>
    <row r="43" spans="1:9" ht="15">
      <c r="A43" s="332" t="s">
        <v>280</v>
      </c>
      <c r="B43" s="198"/>
      <c r="C43" s="335" t="s">
        <v>295</v>
      </c>
      <c r="E43" s="416">
        <v>1304</v>
      </c>
      <c r="F43" s="416">
        <v>549</v>
      </c>
      <c r="G43" s="416">
        <f t="shared" si="2"/>
        <v>755</v>
      </c>
      <c r="I43" s="67" t="str">
        <f t="shared" si="1"/>
        <v>GREEN</v>
      </c>
    </row>
    <row r="44" spans="1:9">
      <c r="A44" s="336" t="s">
        <v>283</v>
      </c>
      <c r="B44" s="198"/>
      <c r="C44" s="335" t="s">
        <v>292</v>
      </c>
      <c r="E44" s="416">
        <v>156</v>
      </c>
      <c r="F44" s="416"/>
      <c r="G44" s="416">
        <f t="shared" si="2"/>
        <v>156</v>
      </c>
      <c r="I44" s="67" t="str">
        <f t="shared" si="1"/>
        <v>GREEN</v>
      </c>
    </row>
    <row r="45" spans="1:9">
      <c r="A45" s="336" t="s">
        <v>282</v>
      </c>
      <c r="B45" s="198"/>
      <c r="C45" s="335" t="s">
        <v>293</v>
      </c>
      <c r="E45" s="416">
        <v>14</v>
      </c>
      <c r="F45" s="416"/>
      <c r="G45" s="416">
        <f t="shared" si="2"/>
        <v>14</v>
      </c>
      <c r="I45" s="67" t="str">
        <f t="shared" si="1"/>
        <v>GREEN</v>
      </c>
    </row>
    <row r="46" spans="1:9">
      <c r="A46" s="336" t="s">
        <v>281</v>
      </c>
      <c r="B46" s="198"/>
      <c r="C46" s="335" t="s">
        <v>294</v>
      </c>
      <c r="E46" s="416">
        <v>98</v>
      </c>
      <c r="F46" s="416"/>
      <c r="G46" s="416">
        <f t="shared" si="2"/>
        <v>98</v>
      </c>
      <c r="I46" s="67" t="str">
        <f t="shared" si="1"/>
        <v>GREEN</v>
      </c>
    </row>
    <row r="47" spans="1:9">
      <c r="A47" s="336" t="s">
        <v>288</v>
      </c>
      <c r="B47" s="198"/>
      <c r="C47" s="335" t="s">
        <v>290</v>
      </c>
      <c r="E47" s="416">
        <v>299</v>
      </c>
      <c r="F47" s="416"/>
      <c r="G47" s="416">
        <f t="shared" si="2"/>
        <v>299</v>
      </c>
      <c r="I47" s="67" t="str">
        <f t="shared" si="1"/>
        <v>GREEN</v>
      </c>
    </row>
    <row r="48" spans="1:9">
      <c r="A48" s="336" t="s">
        <v>252</v>
      </c>
      <c r="B48" s="198"/>
      <c r="C48" s="335" t="s">
        <v>291</v>
      </c>
      <c r="E48" s="416">
        <v>250</v>
      </c>
      <c r="F48" s="416"/>
      <c r="G48" s="416">
        <f t="shared" si="2"/>
        <v>250</v>
      </c>
      <c r="I48" s="67" t="str">
        <f t="shared" si="1"/>
        <v>GREEN</v>
      </c>
    </row>
    <row r="49" spans="1:9">
      <c r="A49" s="334" t="s">
        <v>274</v>
      </c>
      <c r="B49" s="198"/>
      <c r="C49" s="335" t="s">
        <v>278</v>
      </c>
      <c r="E49" s="416">
        <v>50</v>
      </c>
      <c r="F49" s="416"/>
      <c r="G49" s="416">
        <f t="shared" si="2"/>
        <v>50</v>
      </c>
      <c r="I49" s="67" t="str">
        <f t="shared" si="1"/>
        <v>GREEN</v>
      </c>
    </row>
    <row r="50" spans="1:9">
      <c r="A50" s="334" t="s">
        <v>284</v>
      </c>
      <c r="B50" s="198"/>
      <c r="C50" s="335" t="s">
        <v>297</v>
      </c>
      <c r="E50" s="416">
        <v>500</v>
      </c>
      <c r="F50" s="416"/>
      <c r="G50" s="416">
        <f t="shared" si="2"/>
        <v>500</v>
      </c>
      <c r="I50" s="67" t="str">
        <f t="shared" si="1"/>
        <v>GREEN</v>
      </c>
    </row>
    <row r="51" spans="1:9">
      <c r="A51" s="336" t="s">
        <v>285</v>
      </c>
      <c r="B51" s="198"/>
      <c r="C51" s="335" t="s">
        <v>277</v>
      </c>
      <c r="E51" s="416">
        <v>80</v>
      </c>
      <c r="F51" s="416"/>
      <c r="G51" s="416">
        <f t="shared" si="2"/>
        <v>80</v>
      </c>
      <c r="I51" s="67" t="str">
        <f t="shared" si="1"/>
        <v>GREEN</v>
      </c>
    </row>
    <row r="52" spans="1:9">
      <c r="A52" s="333" t="s">
        <v>273</v>
      </c>
      <c r="B52" s="198"/>
      <c r="C52" s="335" t="s">
        <v>277</v>
      </c>
      <c r="E52" s="416">
        <v>580</v>
      </c>
      <c r="F52" s="416"/>
      <c r="G52" s="416">
        <f t="shared" si="2"/>
        <v>580</v>
      </c>
      <c r="I52" s="67" t="str">
        <f t="shared" si="1"/>
        <v>GREEN</v>
      </c>
    </row>
    <row r="53" spans="1:9">
      <c r="A53" s="336" t="s">
        <v>286</v>
      </c>
      <c r="B53" s="198"/>
      <c r="C53" s="335" t="s">
        <v>299</v>
      </c>
      <c r="E53" s="416">
        <v>150</v>
      </c>
      <c r="F53" s="416"/>
      <c r="G53" s="416">
        <f t="shared" si="2"/>
        <v>150</v>
      </c>
      <c r="I53" s="67" t="str">
        <f t="shared" si="1"/>
        <v>GREEN</v>
      </c>
    </row>
    <row r="54" spans="1:9">
      <c r="A54" s="336" t="s">
        <v>287</v>
      </c>
      <c r="B54" s="198"/>
      <c r="C54" s="335" t="s">
        <v>298</v>
      </c>
      <c r="E54" s="416">
        <v>12</v>
      </c>
      <c r="F54" s="416"/>
      <c r="G54" s="416">
        <f t="shared" si="2"/>
        <v>12</v>
      </c>
      <c r="I54" s="67" t="str">
        <f t="shared" si="1"/>
        <v>GREEN</v>
      </c>
    </row>
    <row r="55" spans="1:9">
      <c r="A55" s="337" t="s">
        <v>269</v>
      </c>
      <c r="B55" s="198"/>
      <c r="C55" s="335" t="s">
        <v>270</v>
      </c>
      <c r="E55" s="416">
        <v>400</v>
      </c>
      <c r="F55" s="416"/>
      <c r="G55" s="416">
        <f t="shared" si="2"/>
        <v>400</v>
      </c>
      <c r="I55" s="67" t="str">
        <f t="shared" si="1"/>
        <v>GREEN</v>
      </c>
    </row>
    <row r="56" spans="1:9">
      <c r="B56" s="205"/>
      <c r="E56" s="417"/>
      <c r="F56" s="417"/>
      <c r="G56" s="417"/>
    </row>
    <row r="57" spans="1:9">
      <c r="A57" s="336" t="s">
        <v>45</v>
      </c>
      <c r="B57" s="282"/>
      <c r="C57" s="336"/>
      <c r="E57" s="418">
        <f>SUM(E39:E55)</f>
        <v>6020</v>
      </c>
      <c r="F57" s="418">
        <f>SUM(F39:F56)</f>
        <v>549</v>
      </c>
      <c r="G57" s="418">
        <f>SUM(G39:G56)</f>
        <v>5471</v>
      </c>
      <c r="I57" s="67" t="str">
        <f t="shared" si="1"/>
        <v>GREEN</v>
      </c>
    </row>
  </sheetData>
  <customSheetViews>
    <customSheetView guid="{14394872-1C6D-42D5-AD0E-8F152B5DEE00}" showGridLines="0" fitToPage="1" topLeftCell="A33">
      <selection activeCell="L47" sqref="L47"/>
      <pageMargins left="0.75" right="0.75" top="1" bottom="1" header="0.5" footer="0.5"/>
      <pageSetup paperSize="9" scale="96" orientation="landscape" r:id="rId1"/>
      <headerFooter alignWithMargins="0"/>
    </customSheetView>
  </customSheetViews>
  <phoneticPr fontId="2" type="noConversion"/>
  <conditionalFormatting sqref="I15 I32 I10:I13 I22:I30">
    <cfRule type="cellIs" dxfId="11" priority="10" stopIfTrue="1" operator="equal">
      <formula>"GREEN"</formula>
    </cfRule>
    <cfRule type="cellIs" dxfId="10" priority="11" stopIfTrue="1" operator="equal">
      <formula>"RED"</formula>
    </cfRule>
    <cfRule type="cellIs" dxfId="9" priority="12" stopIfTrue="1" operator="equal">
      <formula>"AMBER"</formula>
    </cfRule>
  </conditionalFormatting>
  <conditionalFormatting sqref="I39">
    <cfRule type="cellIs" dxfId="8" priority="7" stopIfTrue="1" operator="equal">
      <formula>"GREEN"</formula>
    </cfRule>
    <cfRule type="cellIs" dxfId="7" priority="8" stopIfTrue="1" operator="equal">
      <formula>"RED"</formula>
    </cfRule>
    <cfRule type="cellIs" dxfId="6" priority="9" stopIfTrue="1" operator="equal">
      <formula>"AMBER"</formula>
    </cfRule>
  </conditionalFormatting>
  <conditionalFormatting sqref="I40:I55">
    <cfRule type="cellIs" dxfId="5" priority="4" stopIfTrue="1" operator="equal">
      <formula>"GREEN"</formula>
    </cfRule>
    <cfRule type="cellIs" dxfId="4" priority="5" stopIfTrue="1" operator="equal">
      <formula>"RED"</formula>
    </cfRule>
    <cfRule type="cellIs" dxfId="3" priority="6" stopIfTrue="1" operator="equal">
      <formula>"AMBER"</formula>
    </cfRule>
  </conditionalFormatting>
  <conditionalFormatting sqref="I57">
    <cfRule type="cellIs" dxfId="2" priority="1" stopIfTrue="1" operator="equal">
      <formula>"GREEN"</formula>
    </cfRule>
    <cfRule type="cellIs" dxfId="1" priority="2" stopIfTrue="1" operator="equal">
      <formula>"RED"</formula>
    </cfRule>
    <cfRule type="cellIs" dxfId="0" priority="3" stopIfTrue="1" operator="equal">
      <formula>"AMBER"</formula>
    </cfRule>
  </conditionalFormatting>
  <pageMargins left="0.75" right="0.75" top="1" bottom="1" header="0.5" footer="0.5"/>
  <pageSetup paperSize="9" scale="60" orientation="landscape" r:id="rId2"/>
  <headerFooter alignWithMargins="0"/>
</worksheet>
</file>

<file path=xl/worksheets/sheet16.xml><?xml version="1.0" encoding="utf-8"?>
<worksheet xmlns="http://schemas.openxmlformats.org/spreadsheetml/2006/main" xmlns:r="http://schemas.openxmlformats.org/officeDocument/2006/relationships">
  <sheetPr codeName="Sheet21">
    <pageSetUpPr fitToPage="1"/>
  </sheetPr>
  <dimension ref="A1:O134"/>
  <sheetViews>
    <sheetView topLeftCell="A70" workbookViewId="0">
      <selection activeCell="C18" sqref="C18"/>
    </sheetView>
  </sheetViews>
  <sheetFormatPr defaultRowHeight="12.75"/>
  <cols>
    <col min="1" max="1" width="28.140625" bestFit="1" customWidth="1"/>
    <col min="2" max="2" width="13.42578125" style="13" customWidth="1"/>
    <col min="3" max="8" width="12.7109375" style="13" customWidth="1"/>
    <col min="9" max="9" width="14.140625" style="13" customWidth="1"/>
    <col min="10" max="13" width="12.7109375" style="13" customWidth="1"/>
    <col min="15" max="15" width="9.28515625" bestFit="1" customWidth="1"/>
    <col min="16" max="16" width="13.42578125" bestFit="1" customWidth="1"/>
  </cols>
  <sheetData>
    <row r="1" spans="1:15" s="376" customFormat="1">
      <c r="A1" s="157" t="s">
        <v>77</v>
      </c>
      <c r="B1" s="158" t="s">
        <v>146</v>
      </c>
      <c r="C1" s="92"/>
      <c r="D1" s="159" t="s">
        <v>147</v>
      </c>
      <c r="E1" s="159"/>
      <c r="F1" s="159"/>
      <c r="G1" s="159"/>
      <c r="H1" s="159"/>
      <c r="I1" s="13"/>
      <c r="J1" s="13"/>
      <c r="K1" s="13" t="s">
        <v>184</v>
      </c>
      <c r="L1" s="93">
        <v>6</v>
      </c>
      <c r="M1" s="13"/>
    </row>
    <row r="2" spans="1:15" s="376" customFormat="1">
      <c r="A2" s="156"/>
      <c r="B2" s="378"/>
      <c r="C2" s="190"/>
      <c r="D2" s="378"/>
      <c r="E2" s="378"/>
      <c r="F2" s="378"/>
      <c r="G2" s="378"/>
      <c r="H2" s="378"/>
      <c r="I2" s="13"/>
      <c r="J2" s="13"/>
      <c r="K2" s="13"/>
      <c r="L2" s="93"/>
      <c r="M2" s="13"/>
    </row>
    <row r="3" spans="1:15" s="376" customFormat="1">
      <c r="A3" s="1" t="s">
        <v>206</v>
      </c>
      <c r="B3" s="380" t="s">
        <v>446</v>
      </c>
      <c r="C3" s="380" t="s">
        <v>43</v>
      </c>
      <c r="D3" s="380" t="s">
        <v>447</v>
      </c>
      <c r="E3" s="380" t="s">
        <v>185</v>
      </c>
      <c r="F3" s="13" t="s">
        <v>44</v>
      </c>
      <c r="G3" s="13" t="s">
        <v>45</v>
      </c>
      <c r="H3" s="13"/>
      <c r="I3" s="13"/>
      <c r="J3" s="13"/>
      <c r="K3" s="13"/>
      <c r="L3" s="13"/>
      <c r="M3" s="13"/>
    </row>
    <row r="4" spans="1:15" s="376" customFormat="1">
      <c r="A4" s="376" t="s">
        <v>29</v>
      </c>
      <c r="B4" s="92">
        <f>ROUND('SLA data'!N9/1000,0)</f>
        <v>-1250</v>
      </c>
      <c r="C4" s="92">
        <f>ROUND('SLA data'!N11/1000,0)</f>
        <v>-466</v>
      </c>
      <c r="D4" s="92">
        <f>ROUND('SLA data'!N12/1000,0)</f>
        <v>-439</v>
      </c>
      <c r="E4" s="92">
        <f>ROUND('SLA data'!N13/1000,0)</f>
        <v>-156</v>
      </c>
      <c r="F4" s="92">
        <f>G4-SUM(B4:E4)</f>
        <v>-840</v>
      </c>
      <c r="G4" s="92">
        <f>ROUND(SUM('SLA data'!N8:N48)/1000,0)</f>
        <v>-3151</v>
      </c>
      <c r="H4" s="13"/>
      <c r="I4" s="13"/>
      <c r="J4" s="13"/>
      <c r="K4" s="13"/>
      <c r="L4" s="13"/>
      <c r="M4" s="13"/>
    </row>
    <row r="5" spans="1:15" s="376" customFormat="1">
      <c r="B5" s="380"/>
      <c r="C5" s="380"/>
      <c r="D5" s="380"/>
      <c r="E5" s="380"/>
      <c r="F5" s="13"/>
      <c r="G5" s="13"/>
      <c r="H5" s="13"/>
      <c r="I5" s="13"/>
      <c r="J5" s="13"/>
      <c r="K5" s="13"/>
      <c r="L5" s="13"/>
      <c r="M5" s="13"/>
    </row>
    <row r="6" spans="1:15" s="376" customFormat="1">
      <c r="B6" s="13"/>
      <c r="C6" s="13"/>
      <c r="D6" s="13"/>
      <c r="E6" s="13"/>
      <c r="F6" s="13"/>
      <c r="G6" s="13"/>
      <c r="H6" s="13"/>
      <c r="I6" s="13"/>
      <c r="J6" s="13"/>
      <c r="K6" s="13"/>
      <c r="L6" s="13"/>
      <c r="M6" s="13"/>
    </row>
    <row r="7" spans="1:15" s="376" customFormat="1">
      <c r="A7" s="1" t="s">
        <v>206</v>
      </c>
      <c r="B7" s="404" t="s">
        <v>34</v>
      </c>
      <c r="C7" s="404" t="s">
        <v>33</v>
      </c>
      <c r="D7" s="38" t="s">
        <v>30</v>
      </c>
      <c r="E7" s="38" t="s">
        <v>44</v>
      </c>
      <c r="F7" s="38" t="s">
        <v>45</v>
      </c>
      <c r="G7" s="13"/>
      <c r="H7" s="13"/>
      <c r="I7" s="13"/>
      <c r="J7" s="13"/>
      <c r="K7" s="13"/>
      <c r="L7" s="13"/>
      <c r="M7" s="13"/>
    </row>
    <row r="8" spans="1:15" s="376" customFormat="1">
      <c r="A8" s="376" t="s">
        <v>210</v>
      </c>
      <c r="B8" s="91">
        <f>ROUND('Data download'!N20/1000,0)</f>
        <v>-245</v>
      </c>
      <c r="C8" s="91">
        <f>ROUND('Data download'!N22/1000,0)</f>
        <v>-163</v>
      </c>
      <c r="D8" s="91">
        <f>ROUND('Data download'!N21/1000,0)</f>
        <v>-161</v>
      </c>
      <c r="E8" s="91">
        <f>F8-SUM(B8:D8)</f>
        <v>-261</v>
      </c>
      <c r="F8" s="91">
        <f>ROUND(SUM('Data download'!N18:N24)/1000,0)</f>
        <v>-830</v>
      </c>
      <c r="G8" s="13"/>
      <c r="H8" s="379"/>
      <c r="I8" s="13"/>
      <c r="J8" s="13"/>
      <c r="K8" s="13"/>
      <c r="L8" s="13"/>
      <c r="M8" s="13"/>
    </row>
    <row r="9" spans="1:15" s="348" customFormat="1">
      <c r="B9" s="404"/>
      <c r="C9" s="404"/>
      <c r="D9" s="38"/>
      <c r="E9" s="38"/>
      <c r="F9" s="38"/>
      <c r="G9" s="38"/>
      <c r="H9" s="38"/>
    </row>
    <row r="10" spans="1:15" s="376" customFormat="1">
      <c r="B10" s="13"/>
      <c r="C10" s="13"/>
      <c r="D10" s="13"/>
      <c r="E10" s="13"/>
      <c r="F10" s="13"/>
      <c r="G10" s="13"/>
      <c r="H10" s="13"/>
      <c r="I10" s="13"/>
      <c r="J10" s="13"/>
      <c r="K10" s="13"/>
      <c r="L10" s="13"/>
      <c r="M10" s="13"/>
    </row>
    <row r="11" spans="1:15" s="376" customFormat="1">
      <c r="A11" s="1" t="s">
        <v>206</v>
      </c>
      <c r="B11" s="13" t="s">
        <v>76</v>
      </c>
      <c r="C11" s="13" t="s">
        <v>355</v>
      </c>
      <c r="D11" s="13" t="s">
        <v>11</v>
      </c>
      <c r="E11" s="404" t="s">
        <v>356</v>
      </c>
      <c r="F11" s="13" t="s">
        <v>25</v>
      </c>
      <c r="G11" s="13" t="s">
        <v>45</v>
      </c>
      <c r="H11" s="13"/>
      <c r="I11" s="13"/>
      <c r="J11" s="13"/>
      <c r="K11" s="13"/>
      <c r="L11" s="13"/>
      <c r="M11" s="13"/>
    </row>
    <row r="12" spans="1:15" s="376" customFormat="1">
      <c r="A12" s="376" t="s">
        <v>38</v>
      </c>
      <c r="B12" s="91">
        <f>ROUND('Data download'!$N30/1000,0)</f>
        <v>527</v>
      </c>
      <c r="C12" s="91">
        <f>ROUND('Data download'!$N31/1000,0)</f>
        <v>23</v>
      </c>
      <c r="D12" s="91">
        <f>ROUND('Data download'!$N32/1000,0)</f>
        <v>83</v>
      </c>
      <c r="E12" s="91">
        <f>ROUND('Data download'!$N33/1000,0)</f>
        <v>49</v>
      </c>
      <c r="F12" s="91">
        <f>ROUND('Data download'!$N34/1000,0)</f>
        <v>309</v>
      </c>
      <c r="G12" s="91">
        <f>SUM(B12:F12)</f>
        <v>991</v>
      </c>
      <c r="H12" s="13"/>
      <c r="I12" s="13"/>
      <c r="J12" s="13"/>
      <c r="K12" s="13"/>
      <c r="L12" s="13"/>
      <c r="M12" s="13"/>
      <c r="N12" s="13"/>
      <c r="O12" s="13"/>
    </row>
    <row r="13" spans="1:15" s="376" customFormat="1">
      <c r="B13" s="13"/>
      <c r="C13" s="13"/>
      <c r="D13" s="13"/>
      <c r="E13" s="404"/>
      <c r="F13" s="13"/>
      <c r="G13" s="13"/>
      <c r="H13" s="13"/>
      <c r="I13" s="13"/>
      <c r="J13" s="13"/>
      <c r="K13" s="13"/>
      <c r="L13" s="13"/>
      <c r="M13" s="13"/>
      <c r="N13" s="13"/>
    </row>
    <row r="14" spans="1:15" s="376" customFormat="1">
      <c r="B14" s="13"/>
      <c r="C14" s="13"/>
      <c r="D14" s="13"/>
      <c r="E14" s="404"/>
      <c r="F14" s="13"/>
      <c r="G14" s="13"/>
      <c r="H14" s="13"/>
      <c r="I14" s="13"/>
      <c r="J14" s="13"/>
      <c r="K14" s="13"/>
      <c r="L14" s="13"/>
      <c r="M14" s="13"/>
      <c r="N14" s="13"/>
      <c r="O14" s="13"/>
    </row>
    <row r="15" spans="1:15" s="376" customFormat="1">
      <c r="B15" s="13"/>
      <c r="C15" s="13"/>
      <c r="D15" s="13"/>
      <c r="E15" s="13"/>
      <c r="F15" s="13"/>
      <c r="G15" s="13"/>
      <c r="H15" s="13"/>
      <c r="I15" s="13"/>
      <c r="J15" s="13"/>
      <c r="K15" s="13"/>
      <c r="L15" s="13"/>
      <c r="M15" s="13"/>
      <c r="N15" s="13"/>
    </row>
    <row r="16" spans="1:15" s="376" customFormat="1">
      <c r="A16" s="1" t="s">
        <v>206</v>
      </c>
      <c r="B16" s="13" t="s">
        <v>353</v>
      </c>
      <c r="C16" s="13" t="s">
        <v>354</v>
      </c>
      <c r="D16" s="13" t="s">
        <v>45</v>
      </c>
      <c r="E16" s="13"/>
      <c r="F16" s="13"/>
      <c r="G16" s="13"/>
      <c r="H16" s="13"/>
      <c r="I16" s="13"/>
      <c r="J16" s="13"/>
      <c r="K16" s="13"/>
      <c r="L16" s="13"/>
      <c r="M16" s="13"/>
    </row>
    <row r="17" spans="1:14" s="376" customFormat="1">
      <c r="A17" s="376" t="s">
        <v>41</v>
      </c>
      <c r="B17" s="91">
        <f>ROUND('Data download'!$N16/1000,0)-538</f>
        <v>3</v>
      </c>
      <c r="C17" s="91">
        <f>ROUND('Data download'!$N17/1000,0)+538</f>
        <v>2</v>
      </c>
      <c r="D17" s="91">
        <f>SUM(B17:C17)</f>
        <v>5</v>
      </c>
      <c r="E17" s="379"/>
      <c r="F17" s="379"/>
      <c r="G17" s="379"/>
      <c r="H17" s="13"/>
      <c r="I17" s="13"/>
      <c r="J17" s="13"/>
      <c r="K17" s="13"/>
      <c r="L17" s="13"/>
      <c r="M17" s="13"/>
    </row>
    <row r="18" spans="1:14" s="376" customFormat="1">
      <c r="B18" s="13" t="s">
        <v>353</v>
      </c>
      <c r="C18" s="13" t="s">
        <v>354</v>
      </c>
      <c r="D18" s="13" t="s">
        <v>45</v>
      </c>
      <c r="E18" s="13"/>
      <c r="F18" s="13"/>
      <c r="G18" s="13"/>
      <c r="H18" s="13"/>
      <c r="I18" s="13"/>
      <c r="J18" s="13"/>
      <c r="K18" s="13"/>
      <c r="L18" s="13"/>
      <c r="M18" s="13"/>
    </row>
    <row r="19" spans="1:14" s="376" customFormat="1">
      <c r="A19" s="1" t="s">
        <v>207</v>
      </c>
      <c r="B19" s="431" t="s">
        <v>448</v>
      </c>
      <c r="C19" s="431" t="s">
        <v>449</v>
      </c>
      <c r="D19" s="431" t="s">
        <v>450</v>
      </c>
      <c r="E19" s="431" t="s">
        <v>463</v>
      </c>
      <c r="F19" s="13" t="s">
        <v>44</v>
      </c>
      <c r="G19" s="13" t="s">
        <v>45</v>
      </c>
      <c r="H19" s="13"/>
      <c r="I19" s="13"/>
      <c r="J19" s="13"/>
      <c r="K19" s="13"/>
      <c r="L19" s="13"/>
      <c r="M19" s="13"/>
    </row>
    <row r="20" spans="1:14" s="376" customFormat="1">
      <c r="A20" s="376" t="s">
        <v>29</v>
      </c>
      <c r="B20" s="92">
        <f>ROUND('SLA data'!$N52/1000,0)</f>
        <v>-437</v>
      </c>
      <c r="C20" s="92">
        <f>ROUND('SLA data'!$N53/1000,0)</f>
        <v>-167</v>
      </c>
      <c r="D20" s="92">
        <f>ROUND('SLA data'!$N54/1000,0)</f>
        <v>-152</v>
      </c>
      <c r="E20" s="92">
        <f>ROUND('SLA data'!$N55/1000,0)</f>
        <v>-129</v>
      </c>
      <c r="F20" s="92">
        <f>G20-SUM(B20:E20)</f>
        <v>68</v>
      </c>
      <c r="G20" s="92">
        <f>ROUND(SUM('SLA data'!N50:N78)/1000,0)</f>
        <v>-817</v>
      </c>
      <c r="H20" s="13"/>
      <c r="I20" s="13"/>
      <c r="J20" s="13"/>
      <c r="K20" s="13"/>
      <c r="L20" s="13"/>
      <c r="M20" s="13"/>
    </row>
    <row r="21" spans="1:14" s="376" customFormat="1">
      <c r="B21" s="380"/>
      <c r="C21" s="380"/>
      <c r="D21" s="380"/>
      <c r="E21" s="380"/>
      <c r="F21" s="13"/>
      <c r="G21" s="13"/>
      <c r="H21" s="13"/>
      <c r="I21" s="13"/>
      <c r="J21" s="13"/>
      <c r="K21" s="13"/>
      <c r="L21" s="13"/>
      <c r="M21" s="13"/>
    </row>
    <row r="22" spans="1:14" s="376" customFormat="1">
      <c r="B22" s="13"/>
      <c r="C22" s="13"/>
      <c r="D22" s="13"/>
      <c r="E22" s="13"/>
      <c r="F22" s="13"/>
      <c r="G22" s="13"/>
      <c r="H22" s="13"/>
      <c r="I22" s="13"/>
      <c r="J22" s="13"/>
      <c r="K22" s="13"/>
      <c r="L22" s="13"/>
      <c r="M22" s="13"/>
    </row>
    <row r="23" spans="1:14" s="376" customFormat="1" ht="25.5">
      <c r="A23" s="1" t="s">
        <v>207</v>
      </c>
      <c r="B23" s="38" t="s">
        <v>30</v>
      </c>
      <c r="C23" s="38" t="s">
        <v>36</v>
      </c>
      <c r="D23" s="38" t="s">
        <v>89</v>
      </c>
      <c r="E23" s="38" t="s">
        <v>44</v>
      </c>
      <c r="F23" s="38" t="s">
        <v>45</v>
      </c>
      <c r="G23" s="13"/>
      <c r="H23" s="13"/>
      <c r="I23" s="13"/>
      <c r="J23" s="13"/>
      <c r="K23" s="13"/>
      <c r="L23" s="13"/>
      <c r="M23" s="13"/>
    </row>
    <row r="24" spans="1:14" s="376" customFormat="1">
      <c r="A24" s="376" t="s">
        <v>210</v>
      </c>
      <c r="B24" s="91">
        <f>ROUND('Data download'!$N55/1000,0)</f>
        <v>-674</v>
      </c>
      <c r="C24" s="91">
        <f>ROUND('Data download'!$N55/1000,0)</f>
        <v>-674</v>
      </c>
      <c r="D24" s="91">
        <f>ROUND('Data download'!$N55/1000,0)</f>
        <v>-674</v>
      </c>
      <c r="E24" s="91">
        <f>F24-SUM(B24:D24)</f>
        <v>1554</v>
      </c>
      <c r="F24" s="91">
        <f>ROUND(SUM('Data download'!N52:N58)/1000,0)</f>
        <v>-468</v>
      </c>
      <c r="G24" s="13"/>
      <c r="H24" s="379"/>
      <c r="I24" s="13"/>
      <c r="J24" s="13"/>
      <c r="K24" s="13"/>
      <c r="L24" s="13"/>
      <c r="M24" s="13"/>
    </row>
    <row r="25" spans="1:14" s="348" customFormat="1">
      <c r="B25" s="38"/>
      <c r="C25" s="38"/>
      <c r="D25" s="38"/>
      <c r="E25" s="38"/>
      <c r="F25" s="38"/>
      <c r="G25" s="38"/>
      <c r="H25" s="38"/>
    </row>
    <row r="26" spans="1:14" s="376" customFormat="1">
      <c r="B26" s="13"/>
      <c r="C26" s="13"/>
      <c r="D26" s="13"/>
      <c r="E26" s="13"/>
      <c r="F26" s="13"/>
      <c r="G26" s="13"/>
      <c r="H26" s="13"/>
      <c r="I26" s="13"/>
      <c r="J26" s="13"/>
      <c r="K26" s="13"/>
      <c r="L26" s="13"/>
      <c r="M26" s="13"/>
    </row>
    <row r="27" spans="1:14" s="376" customFormat="1">
      <c r="A27" s="1" t="s">
        <v>207</v>
      </c>
      <c r="B27" s="13" t="s">
        <v>76</v>
      </c>
      <c r="C27" s="13" t="s">
        <v>355</v>
      </c>
      <c r="D27" s="13" t="s">
        <v>11</v>
      </c>
      <c r="E27" s="13" t="s">
        <v>25</v>
      </c>
      <c r="F27" s="13" t="s">
        <v>45</v>
      </c>
      <c r="G27" s="13"/>
      <c r="H27" s="13"/>
      <c r="I27" s="13"/>
      <c r="J27" s="13"/>
      <c r="K27" s="13"/>
      <c r="L27" s="13"/>
      <c r="M27" s="13"/>
    </row>
    <row r="28" spans="1:14" s="376" customFormat="1">
      <c r="A28" s="376" t="s">
        <v>38</v>
      </c>
      <c r="B28" s="91">
        <f>ROUND('Data download'!$N64/1000,)</f>
        <v>189</v>
      </c>
      <c r="C28" s="91">
        <f>ROUND('Data download'!$N65/1000,)</f>
        <v>248</v>
      </c>
      <c r="D28" s="91">
        <f>ROUND('Data download'!$N66/1000,)</f>
        <v>4</v>
      </c>
      <c r="E28" s="91">
        <f>ROUND('Data download'!$N67/1000,)</f>
        <v>129</v>
      </c>
      <c r="F28" s="91">
        <f>SUM(B28:E28)</f>
        <v>570</v>
      </c>
      <c r="G28" s="13"/>
      <c r="H28" s="13"/>
      <c r="I28" s="13"/>
      <c r="J28" s="13"/>
      <c r="K28" s="13"/>
      <c r="L28" s="13"/>
      <c r="M28" s="13"/>
      <c r="N28" s="13"/>
    </row>
    <row r="29" spans="1:14" s="376" customFormat="1">
      <c r="B29" s="13"/>
      <c r="C29" s="13"/>
      <c r="D29" s="13"/>
      <c r="E29" s="13"/>
      <c r="F29" s="13"/>
      <c r="G29" s="13"/>
      <c r="H29" s="13"/>
      <c r="I29" s="13"/>
      <c r="J29" s="13"/>
      <c r="K29" s="13"/>
      <c r="L29" s="13"/>
      <c r="M29" s="13"/>
    </row>
    <row r="30" spans="1:14" s="376" customFormat="1">
      <c r="B30" s="13"/>
      <c r="C30" s="13"/>
      <c r="D30" s="13"/>
      <c r="E30" s="13"/>
      <c r="F30" s="13"/>
      <c r="G30" s="13"/>
      <c r="H30" s="13"/>
      <c r="I30" s="13"/>
      <c r="J30" s="13"/>
      <c r="K30" s="13"/>
      <c r="L30" s="13"/>
      <c r="M30" s="13"/>
      <c r="N30" s="13"/>
    </row>
    <row r="31" spans="1:14" s="376" customFormat="1">
      <c r="B31" s="13"/>
      <c r="C31" s="13"/>
      <c r="D31" s="13"/>
      <c r="E31" s="13"/>
      <c r="F31" s="13"/>
      <c r="G31" s="13"/>
      <c r="H31" s="13"/>
      <c r="I31" s="13"/>
      <c r="J31" s="13"/>
      <c r="K31" s="13"/>
      <c r="L31" s="13"/>
      <c r="M31" s="13"/>
      <c r="N31" s="13"/>
    </row>
    <row r="32" spans="1:14" s="376" customFormat="1">
      <c r="A32" s="1" t="s">
        <v>207</v>
      </c>
      <c r="B32" s="13" t="s">
        <v>353</v>
      </c>
      <c r="C32" s="13" t="s">
        <v>354</v>
      </c>
      <c r="D32" s="13" t="s">
        <v>45</v>
      </c>
      <c r="E32" s="13"/>
      <c r="F32" s="13"/>
      <c r="G32" s="13"/>
      <c r="H32" s="13"/>
      <c r="I32" s="13"/>
      <c r="J32" s="13"/>
      <c r="K32" s="13"/>
      <c r="L32" s="13"/>
      <c r="M32" s="13"/>
    </row>
    <row r="33" spans="1:15" s="376" customFormat="1">
      <c r="A33" s="376" t="s">
        <v>41</v>
      </c>
      <c r="B33" s="91">
        <f>ROUND('Data download'!$N50/1000,0)</f>
        <v>59</v>
      </c>
      <c r="C33" s="91">
        <f>ROUND('Data download'!$N51/1000,0)</f>
        <v>14</v>
      </c>
      <c r="D33" s="91">
        <f>SUM(B33:C33)</f>
        <v>73</v>
      </c>
      <c r="E33" s="379"/>
      <c r="F33" s="379"/>
      <c r="G33" s="379"/>
      <c r="H33" s="13"/>
      <c r="I33" s="13"/>
      <c r="J33" s="13"/>
      <c r="K33" s="13"/>
      <c r="L33" s="13"/>
      <c r="M33" s="13"/>
    </row>
    <row r="34" spans="1:15" s="376" customFormat="1">
      <c r="B34" s="13"/>
      <c r="C34" s="13"/>
      <c r="D34" s="13"/>
      <c r="E34" s="13"/>
      <c r="F34" s="13"/>
      <c r="G34" s="13"/>
      <c r="H34" s="13"/>
      <c r="I34" s="13"/>
      <c r="J34" s="13"/>
      <c r="K34" s="13"/>
      <c r="L34" s="13"/>
      <c r="M34" s="13"/>
    </row>
    <row r="35" spans="1:15" s="376" customFormat="1">
      <c r="A35" s="1" t="s">
        <v>208</v>
      </c>
      <c r="B35" s="380" t="s">
        <v>451</v>
      </c>
      <c r="C35" s="380" t="s">
        <v>352</v>
      </c>
      <c r="D35" s="380" t="s">
        <v>351</v>
      </c>
      <c r="E35" s="380" t="s">
        <v>452</v>
      </c>
      <c r="F35" s="13" t="s">
        <v>44</v>
      </c>
      <c r="G35" s="13" t="s">
        <v>45</v>
      </c>
      <c r="H35" s="13"/>
      <c r="I35" s="13"/>
      <c r="J35" s="13"/>
      <c r="K35" s="13"/>
      <c r="L35" s="13"/>
      <c r="M35" s="13"/>
    </row>
    <row r="36" spans="1:15" s="376" customFormat="1">
      <c r="A36" s="376" t="s">
        <v>29</v>
      </c>
      <c r="B36" s="92">
        <f>ROUND('SLA data'!$N81/1000,0)</f>
        <v>-190</v>
      </c>
      <c r="C36" s="92">
        <f>ROUND('SLA data'!$N82/1000,0)</f>
        <v>-150</v>
      </c>
      <c r="D36" s="92">
        <f>ROUND('SLA data'!$N83/1000,0)</f>
        <v>-111</v>
      </c>
      <c r="E36" s="92">
        <f>ROUND('SLA data'!$N84/1000,0)</f>
        <v>-92</v>
      </c>
      <c r="F36" s="92">
        <f>G36-SUM(B36:E36)</f>
        <v>1356</v>
      </c>
      <c r="G36" s="92">
        <f>ROUND(SUM('SLA data'!N80:N114)/1000,0)</f>
        <v>813</v>
      </c>
      <c r="H36" s="13"/>
      <c r="I36" s="13"/>
      <c r="J36" s="13"/>
      <c r="K36" s="13"/>
      <c r="L36" s="13"/>
      <c r="M36" s="13"/>
    </row>
    <row r="37" spans="1:15" s="376" customFormat="1">
      <c r="B37" s="380"/>
      <c r="C37" s="380"/>
      <c r="D37" s="380"/>
      <c r="E37" s="380"/>
      <c r="F37" s="13"/>
      <c r="G37" s="13"/>
      <c r="H37" s="13"/>
      <c r="I37" s="13"/>
      <c r="J37" s="13"/>
      <c r="K37" s="13"/>
      <c r="L37" s="13"/>
      <c r="M37" s="13"/>
    </row>
    <row r="38" spans="1:15" s="376" customFormat="1">
      <c r="B38" s="13"/>
      <c r="C38" s="13"/>
      <c r="D38" s="13"/>
      <c r="E38" s="13"/>
      <c r="F38" s="13"/>
      <c r="G38" s="13"/>
      <c r="H38" s="13"/>
      <c r="I38" s="13"/>
      <c r="J38" s="13"/>
      <c r="K38" s="13"/>
      <c r="L38" s="13"/>
      <c r="M38" s="13"/>
    </row>
    <row r="39" spans="1:15" s="376" customFormat="1" ht="25.5">
      <c r="A39" s="1" t="s">
        <v>208</v>
      </c>
      <c r="B39" s="38" t="s">
        <v>36</v>
      </c>
      <c r="C39" s="38" t="s">
        <v>30</v>
      </c>
      <c r="D39" s="404" t="s">
        <v>34</v>
      </c>
      <c r="E39" s="38" t="s">
        <v>44</v>
      </c>
      <c r="F39" s="38" t="s">
        <v>45</v>
      </c>
      <c r="G39" s="13"/>
      <c r="H39" s="13"/>
      <c r="I39" s="13"/>
      <c r="J39" s="13"/>
      <c r="K39" s="13"/>
      <c r="L39" s="13"/>
      <c r="M39" s="13"/>
    </row>
    <row r="40" spans="1:15" s="376" customFormat="1">
      <c r="A40" s="376" t="s">
        <v>210</v>
      </c>
      <c r="B40" s="91">
        <f>ROUND('Data download'!$N85/1000,0)</f>
        <v>-283</v>
      </c>
      <c r="C40" s="91">
        <f>ROUND('Data download'!$N88/1000,0)</f>
        <v>-133</v>
      </c>
      <c r="D40" s="91">
        <f>ROUND('Data download'!$N87/1000,0)</f>
        <v>-105</v>
      </c>
      <c r="E40" s="91">
        <f>F40-SUM(B40:D40)</f>
        <v>253</v>
      </c>
      <c r="F40" s="91">
        <f>ROUND(SUM('Data download'!N85:N90)/1000,0)</f>
        <v>-268</v>
      </c>
      <c r="G40" s="13"/>
      <c r="H40" s="379"/>
      <c r="I40" s="13"/>
      <c r="J40" s="13"/>
      <c r="K40" s="13"/>
      <c r="L40" s="13"/>
      <c r="M40" s="13"/>
    </row>
    <row r="41" spans="1:15" s="348" customFormat="1">
      <c r="B41" s="38"/>
      <c r="C41" s="38"/>
      <c r="D41" s="404"/>
      <c r="E41" s="38"/>
      <c r="F41" s="38"/>
      <c r="G41" s="38"/>
      <c r="H41" s="38"/>
    </row>
    <row r="42" spans="1:15" s="376" customFormat="1">
      <c r="B42" s="13"/>
      <c r="C42" s="13"/>
      <c r="D42" s="13"/>
      <c r="E42" s="13"/>
      <c r="F42" s="13"/>
      <c r="G42" s="13"/>
      <c r="H42" s="13"/>
      <c r="I42" s="13"/>
      <c r="J42" s="13"/>
      <c r="K42" s="13"/>
      <c r="L42" s="13"/>
      <c r="M42" s="13"/>
    </row>
    <row r="43" spans="1:15" s="376" customFormat="1">
      <c r="A43" s="1" t="s">
        <v>208</v>
      </c>
      <c r="B43" s="13" t="s">
        <v>76</v>
      </c>
      <c r="C43" s="13" t="s">
        <v>355</v>
      </c>
      <c r="D43" s="13" t="s">
        <v>11</v>
      </c>
      <c r="E43" s="404" t="s">
        <v>356</v>
      </c>
      <c r="F43" s="13" t="s">
        <v>25</v>
      </c>
      <c r="G43" s="13" t="s">
        <v>45</v>
      </c>
      <c r="H43" s="13"/>
      <c r="I43" s="13"/>
      <c r="J43" s="13"/>
      <c r="K43" s="13"/>
      <c r="L43" s="13"/>
      <c r="M43" s="13"/>
    </row>
    <row r="44" spans="1:15" s="376" customFormat="1">
      <c r="A44" s="376" t="s">
        <v>38</v>
      </c>
      <c r="B44" s="91">
        <f>ROUND('Data download'!$N96/1000,0)</f>
        <v>63</v>
      </c>
      <c r="C44" s="91">
        <f>ROUND('Data download'!$N97/1000,0)</f>
        <v>99</v>
      </c>
      <c r="D44" s="91">
        <f>ROUND('Data download'!$N98/1000,0)</f>
        <v>-88</v>
      </c>
      <c r="E44" s="91">
        <f>ROUND('Data download'!$N99/1000,0)</f>
        <v>-212</v>
      </c>
      <c r="F44" s="91">
        <f>ROUND('Data download'!$N100/1000,0)</f>
        <v>-359</v>
      </c>
      <c r="G44" s="91">
        <f>SUM(B44:F44)</f>
        <v>-497</v>
      </c>
      <c r="H44" s="13"/>
      <c r="I44" s="13"/>
      <c r="J44" s="13"/>
      <c r="K44" s="13"/>
      <c r="L44" s="13"/>
      <c r="M44" s="13"/>
      <c r="N44" s="13"/>
      <c r="O44" s="13"/>
    </row>
    <row r="45" spans="1:15" s="376" customFormat="1">
      <c r="B45" s="13"/>
      <c r="C45" s="13"/>
      <c r="D45" s="13"/>
      <c r="E45" s="404"/>
      <c r="F45" s="13"/>
      <c r="G45" s="13"/>
      <c r="H45" s="13"/>
      <c r="I45" s="13"/>
      <c r="J45" s="13"/>
      <c r="K45" s="13"/>
      <c r="L45" s="13"/>
      <c r="M45" s="13"/>
      <c r="N45" s="13"/>
    </row>
    <row r="46" spans="1:15" s="376" customFormat="1">
      <c r="B46" s="13"/>
      <c r="C46" s="13"/>
      <c r="D46" s="13"/>
      <c r="E46" s="404"/>
      <c r="F46" s="13"/>
      <c r="G46" s="13"/>
      <c r="H46" s="13"/>
      <c r="I46" s="13"/>
      <c r="J46" s="13"/>
      <c r="K46" s="13"/>
      <c r="L46" s="13"/>
      <c r="M46" s="13"/>
      <c r="N46" s="13"/>
      <c r="O46" s="13"/>
    </row>
    <row r="47" spans="1:15" s="376" customFormat="1">
      <c r="B47" s="13"/>
      <c r="C47" s="13"/>
      <c r="D47" s="13"/>
      <c r="E47" s="13"/>
      <c r="F47" s="13"/>
      <c r="G47" s="13"/>
      <c r="H47" s="13"/>
      <c r="I47" s="13"/>
      <c r="J47" s="13"/>
      <c r="K47" s="13"/>
      <c r="L47" s="13"/>
      <c r="M47" s="13"/>
      <c r="N47" s="13"/>
    </row>
    <row r="48" spans="1:15" s="376" customFormat="1">
      <c r="A48" s="1" t="s">
        <v>208</v>
      </c>
      <c r="B48" s="13" t="s">
        <v>353</v>
      </c>
      <c r="C48" s="13" t="s">
        <v>354</v>
      </c>
      <c r="D48" s="13" t="s">
        <v>45</v>
      </c>
      <c r="E48" s="13"/>
      <c r="F48" s="13"/>
      <c r="G48" s="13"/>
      <c r="H48" s="13"/>
      <c r="I48" s="13"/>
      <c r="J48" s="13"/>
      <c r="K48" s="13"/>
      <c r="L48" s="13"/>
      <c r="M48" s="13"/>
    </row>
    <row r="49" spans="1:13" s="376" customFormat="1">
      <c r="A49" s="376" t="s">
        <v>41</v>
      </c>
      <c r="B49" s="91">
        <f>ROUND('Data download'!$N83/1000,0)</f>
        <v>-8</v>
      </c>
      <c r="C49" s="91">
        <f>ROUND('Data download'!$N84/1000,0)</f>
        <v>101</v>
      </c>
      <c r="D49" s="91">
        <f>SUM(B49:C49)</f>
        <v>93</v>
      </c>
      <c r="E49" s="379"/>
      <c r="F49" s="379"/>
      <c r="G49" s="379"/>
      <c r="H49" s="13"/>
      <c r="I49" s="13"/>
      <c r="J49" s="13"/>
      <c r="K49" s="13"/>
      <c r="L49" s="13"/>
      <c r="M49" s="13"/>
    </row>
    <row r="50" spans="1:13" s="376" customFormat="1">
      <c r="B50" s="13" t="s">
        <v>353</v>
      </c>
      <c r="C50" s="13" t="s">
        <v>354</v>
      </c>
      <c r="D50" s="13" t="s">
        <v>45</v>
      </c>
      <c r="E50" s="13"/>
      <c r="F50" s="13"/>
      <c r="G50" s="13"/>
      <c r="H50" s="13"/>
      <c r="I50" s="13"/>
      <c r="J50" s="13"/>
      <c r="K50" s="13"/>
      <c r="L50" s="13"/>
      <c r="M50" s="13"/>
    </row>
    <row r="51" spans="1:13" s="376" customFormat="1">
      <c r="B51" s="13"/>
      <c r="C51" s="13"/>
      <c r="D51" s="13"/>
      <c r="E51" s="13"/>
      <c r="F51" s="13"/>
      <c r="G51" s="13"/>
      <c r="H51" s="13"/>
      <c r="I51" s="13"/>
      <c r="J51" s="13"/>
      <c r="K51" s="13"/>
      <c r="L51" s="13"/>
      <c r="M51" s="13"/>
    </row>
    <row r="52" spans="1:13" s="376" customFormat="1">
      <c r="B52" s="13"/>
      <c r="C52" s="13"/>
      <c r="D52" s="13"/>
      <c r="E52" s="13"/>
      <c r="F52" s="13"/>
      <c r="G52" s="13"/>
      <c r="H52" s="13"/>
      <c r="I52" s="13"/>
      <c r="J52" s="13"/>
      <c r="K52" s="13"/>
      <c r="L52" s="13"/>
      <c r="M52" s="13"/>
    </row>
    <row r="53" spans="1:13" s="376" customFormat="1" ht="38.25">
      <c r="A53" s="1" t="s">
        <v>357</v>
      </c>
      <c r="B53" s="38" t="s">
        <v>145</v>
      </c>
      <c r="C53" s="404" t="s">
        <v>26</v>
      </c>
      <c r="D53" s="404" t="s">
        <v>453</v>
      </c>
      <c r="E53" s="38" t="s">
        <v>40</v>
      </c>
      <c r="F53" s="38" t="s">
        <v>47</v>
      </c>
      <c r="G53" s="38" t="s">
        <v>454</v>
      </c>
      <c r="H53" s="38" t="s">
        <v>45</v>
      </c>
      <c r="I53" s="13"/>
      <c r="J53" s="13"/>
      <c r="K53" s="13"/>
      <c r="L53" s="13"/>
      <c r="M53" s="13"/>
    </row>
    <row r="54" spans="1:13" s="376" customFormat="1">
      <c r="A54" s="376" t="s">
        <v>26</v>
      </c>
      <c r="B54" s="91">
        <f>ROUND(SUM('Data download'!$N108:N110)/1000,0)</f>
        <v>4</v>
      </c>
      <c r="C54" s="91">
        <f>ROUND(SUM('Data download'!$N111:O116)/1000,0)</f>
        <v>-140</v>
      </c>
      <c r="D54" s="91">
        <f>ROUND(SUM('Data download'!$N117:P121)/1000,0)</f>
        <v>-189</v>
      </c>
      <c r="E54" s="91">
        <f>ROUND(SUM('Data download'!$N122:Q124)/1000,0)</f>
        <v>82</v>
      </c>
      <c r="F54" s="91">
        <f>ROUND(SUM('Data download'!$N125:R127)/1000,0)</f>
        <v>-469</v>
      </c>
      <c r="G54" s="91">
        <f>ROUND(SUM('Data download'!$N128:S130)/1000,0)</f>
        <v>-844</v>
      </c>
      <c r="H54" s="91">
        <f>ROUND(SUM('Data download'!$N108:T130)/1000,0)</f>
        <v>-1556</v>
      </c>
    </row>
    <row r="55" spans="1:13" s="348" customFormat="1">
      <c r="B55" s="38"/>
      <c r="C55" s="404"/>
      <c r="D55" s="404"/>
      <c r="E55" s="38"/>
      <c r="F55" s="38"/>
      <c r="G55" s="38"/>
      <c r="H55" s="38"/>
    </row>
    <row r="74" spans="1:15">
      <c r="A74" s="1" t="s">
        <v>62</v>
      </c>
    </row>
    <row r="75" spans="1:15">
      <c r="A75" s="5" t="s">
        <v>206</v>
      </c>
    </row>
    <row r="76" spans="1:15">
      <c r="A76" t="s">
        <v>63</v>
      </c>
      <c r="B76" s="90">
        <v>40634</v>
      </c>
      <c r="C76" s="90">
        <v>40664</v>
      </c>
      <c r="D76" s="90">
        <v>40695</v>
      </c>
      <c r="E76" s="90">
        <v>40725</v>
      </c>
      <c r="F76" s="90">
        <v>40756</v>
      </c>
      <c r="G76" s="90">
        <v>40787</v>
      </c>
      <c r="H76" s="90">
        <v>40817</v>
      </c>
      <c r="I76" s="90">
        <v>40848</v>
      </c>
      <c r="J76" s="90">
        <v>40878</v>
      </c>
      <c r="K76" s="90">
        <v>40909</v>
      </c>
      <c r="L76" s="90">
        <v>40940</v>
      </c>
      <c r="M76" s="90">
        <v>40969</v>
      </c>
      <c r="O76" t="s">
        <v>45</v>
      </c>
    </row>
    <row r="77" spans="1:15">
      <c r="A77" t="s">
        <v>64</v>
      </c>
      <c r="B77" s="93">
        <v>47</v>
      </c>
      <c r="C77" s="93">
        <v>51</v>
      </c>
      <c r="D77" s="93">
        <v>49</v>
      </c>
      <c r="E77" s="93">
        <v>50</v>
      </c>
      <c r="F77" s="93">
        <v>50</v>
      </c>
      <c r="G77" s="93">
        <v>51</v>
      </c>
      <c r="H77" s="93"/>
      <c r="I77" s="93"/>
      <c r="J77" s="93"/>
      <c r="K77" s="93"/>
      <c r="L77" s="93"/>
      <c r="M77" s="93"/>
      <c r="O77" s="153">
        <f>SUM(B77:M77)</f>
        <v>298</v>
      </c>
    </row>
    <row r="78" spans="1:15">
      <c r="A78" t="s">
        <v>65</v>
      </c>
      <c r="B78" s="93">
        <v>47</v>
      </c>
      <c r="C78" s="93">
        <v>51</v>
      </c>
      <c r="D78" s="93">
        <v>49</v>
      </c>
      <c r="E78" s="93">
        <v>50</v>
      </c>
      <c r="F78" s="93">
        <v>50</v>
      </c>
      <c r="G78" s="93">
        <v>51</v>
      </c>
      <c r="H78" s="93">
        <v>50</v>
      </c>
      <c r="I78" s="93">
        <v>50</v>
      </c>
      <c r="J78" s="93">
        <v>50</v>
      </c>
      <c r="K78" s="93">
        <v>50</v>
      </c>
      <c r="L78" s="93">
        <v>51</v>
      </c>
      <c r="M78" s="93">
        <v>51</v>
      </c>
    </row>
    <row r="79" spans="1:15">
      <c r="E79" s="13">
        <v>51</v>
      </c>
    </row>
    <row r="80" spans="1:15">
      <c r="A80" t="s">
        <v>207</v>
      </c>
    </row>
    <row r="81" spans="1:15">
      <c r="A81" t="s">
        <v>63</v>
      </c>
      <c r="B81" s="90">
        <v>40634</v>
      </c>
      <c r="C81" s="90">
        <v>40664</v>
      </c>
      <c r="D81" s="90">
        <v>40695</v>
      </c>
      <c r="E81" s="90">
        <v>40725</v>
      </c>
      <c r="F81" s="90">
        <v>40756</v>
      </c>
      <c r="G81" s="90">
        <v>40787</v>
      </c>
      <c r="H81" s="90">
        <v>40817</v>
      </c>
      <c r="I81" s="90">
        <v>40848</v>
      </c>
      <c r="J81" s="90">
        <v>40878</v>
      </c>
      <c r="K81" s="90">
        <v>40909</v>
      </c>
      <c r="L81" s="90">
        <v>40940</v>
      </c>
      <c r="M81" s="90">
        <v>40969</v>
      </c>
      <c r="O81" t="s">
        <v>45</v>
      </c>
    </row>
    <row r="82" spans="1:15">
      <c r="A82" t="s">
        <v>64</v>
      </c>
      <c r="B82" s="93">
        <v>35</v>
      </c>
      <c r="C82" s="93">
        <v>35</v>
      </c>
      <c r="D82" s="93">
        <v>35</v>
      </c>
      <c r="E82" s="93">
        <v>34</v>
      </c>
      <c r="F82" s="93">
        <v>34</v>
      </c>
      <c r="G82" s="93">
        <v>35</v>
      </c>
      <c r="H82" s="93"/>
      <c r="I82" s="93"/>
      <c r="J82" s="93"/>
      <c r="K82" s="93"/>
      <c r="L82" s="93"/>
      <c r="M82" s="93"/>
      <c r="O82" s="153">
        <f>SUM(B82:M82)</f>
        <v>208</v>
      </c>
    </row>
    <row r="83" spans="1:15">
      <c r="A83" t="s">
        <v>65</v>
      </c>
      <c r="B83" s="93">
        <v>35</v>
      </c>
      <c r="C83" s="93">
        <v>35</v>
      </c>
      <c r="D83" s="93">
        <v>35</v>
      </c>
      <c r="E83" s="93">
        <v>35</v>
      </c>
      <c r="F83" s="93">
        <v>35</v>
      </c>
      <c r="G83" s="93">
        <v>35</v>
      </c>
      <c r="H83" s="93">
        <v>35</v>
      </c>
      <c r="I83" s="93">
        <v>35</v>
      </c>
      <c r="J83" s="93">
        <v>35</v>
      </c>
      <c r="K83" s="93">
        <v>35</v>
      </c>
      <c r="L83" s="93">
        <v>35</v>
      </c>
      <c r="M83" s="93">
        <v>34</v>
      </c>
    </row>
    <row r="85" spans="1:15">
      <c r="A85" t="s">
        <v>208</v>
      </c>
    </row>
    <row r="86" spans="1:15">
      <c r="A86" t="s">
        <v>63</v>
      </c>
      <c r="B86" s="90">
        <v>40634</v>
      </c>
      <c r="C86" s="90">
        <v>40664</v>
      </c>
      <c r="D86" s="90">
        <v>40695</v>
      </c>
      <c r="E86" s="90">
        <v>40725</v>
      </c>
      <c r="F86" s="90">
        <v>40756</v>
      </c>
      <c r="G86" s="90">
        <v>40787</v>
      </c>
      <c r="H86" s="90">
        <v>40817</v>
      </c>
      <c r="I86" s="90">
        <v>40848</v>
      </c>
      <c r="J86" s="90">
        <v>40878</v>
      </c>
      <c r="K86" s="90">
        <v>40909</v>
      </c>
      <c r="L86" s="90">
        <v>40940</v>
      </c>
      <c r="M86" s="90">
        <v>40969</v>
      </c>
      <c r="O86" t="s">
        <v>45</v>
      </c>
    </row>
    <row r="87" spans="1:15">
      <c r="A87" t="s">
        <v>64</v>
      </c>
      <c r="B87" s="93">
        <v>35</v>
      </c>
      <c r="C87" s="93">
        <v>35</v>
      </c>
      <c r="D87" s="93">
        <v>36</v>
      </c>
      <c r="E87" s="93">
        <v>34</v>
      </c>
      <c r="F87" s="93">
        <v>36</v>
      </c>
      <c r="G87" s="93">
        <v>37</v>
      </c>
      <c r="H87" s="93"/>
      <c r="I87" s="93"/>
      <c r="J87" s="93"/>
      <c r="K87" s="93"/>
      <c r="L87" s="93"/>
      <c r="M87" s="93"/>
      <c r="O87" s="153">
        <f>SUM(B87:M87)</f>
        <v>213</v>
      </c>
    </row>
    <row r="88" spans="1:15">
      <c r="A88" t="s">
        <v>65</v>
      </c>
      <c r="B88" s="93">
        <v>35</v>
      </c>
      <c r="C88" s="93">
        <v>35</v>
      </c>
      <c r="D88" s="93">
        <v>35</v>
      </c>
      <c r="E88" s="93">
        <v>35</v>
      </c>
      <c r="F88" s="93">
        <v>35</v>
      </c>
      <c r="G88" s="93">
        <v>35</v>
      </c>
      <c r="H88" s="93">
        <v>35</v>
      </c>
      <c r="I88" s="93">
        <v>35</v>
      </c>
      <c r="J88" s="93">
        <v>35</v>
      </c>
      <c r="K88" s="93">
        <v>35</v>
      </c>
      <c r="L88" s="93">
        <v>36</v>
      </c>
      <c r="M88" s="93">
        <v>36</v>
      </c>
    </row>
    <row r="95" spans="1:15">
      <c r="A95" t="s">
        <v>206</v>
      </c>
    </row>
    <row r="96" spans="1:15">
      <c r="A96" t="s">
        <v>0</v>
      </c>
      <c r="B96" s="90">
        <v>40634</v>
      </c>
      <c r="C96" s="90">
        <v>40664</v>
      </c>
      <c r="D96" s="90">
        <v>40695</v>
      </c>
      <c r="E96" s="90">
        <v>40725</v>
      </c>
      <c r="F96" s="90">
        <v>40756</v>
      </c>
      <c r="G96" s="90">
        <v>40787</v>
      </c>
      <c r="H96" s="90">
        <v>40817</v>
      </c>
      <c r="I96" s="90">
        <v>40848</v>
      </c>
      <c r="J96" s="90">
        <v>40878</v>
      </c>
      <c r="K96" s="90">
        <v>40909</v>
      </c>
      <c r="L96" s="90">
        <v>40940</v>
      </c>
      <c r="M96" s="90">
        <v>40969</v>
      </c>
      <c r="O96" t="s">
        <v>94</v>
      </c>
    </row>
    <row r="97" spans="1:15">
      <c r="A97" t="s">
        <v>1</v>
      </c>
      <c r="B97" s="93">
        <v>295</v>
      </c>
      <c r="C97" s="93">
        <v>545</v>
      </c>
      <c r="D97" s="93">
        <v>88</v>
      </c>
      <c r="E97" s="93">
        <v>38</v>
      </c>
      <c r="F97" s="93">
        <v>68</v>
      </c>
      <c r="G97" s="93">
        <v>43</v>
      </c>
      <c r="H97" s="93"/>
      <c r="I97" s="93"/>
      <c r="J97" s="93"/>
      <c r="K97" s="93"/>
      <c r="L97" s="93"/>
      <c r="M97" s="93"/>
      <c r="O97" s="195">
        <f>SUM(B97:M97)/$L$1</f>
        <v>179.5</v>
      </c>
    </row>
    <row r="98" spans="1:15">
      <c r="A98" t="s">
        <v>2</v>
      </c>
      <c r="B98" s="92">
        <f>B97</f>
        <v>295</v>
      </c>
      <c r="C98" s="92">
        <f>ROUND((C97+B97)/2,0)</f>
        <v>420</v>
      </c>
      <c r="D98" s="92">
        <f>ROUND((B97+D97+C97)/3,0)</f>
        <v>309</v>
      </c>
      <c r="E98" s="92">
        <f>ROUND((C97+E97+D97+B97)/4,0)</f>
        <v>242</v>
      </c>
      <c r="F98" s="92">
        <f>ROUND((D97+F97+E97+B97+C97)/5,0)</f>
        <v>207</v>
      </c>
      <c r="G98" s="92">
        <f>ROUND((E97+G97+F97+B97+C97+D97)/6,0)</f>
        <v>180</v>
      </c>
      <c r="H98" s="92"/>
      <c r="I98" s="92"/>
      <c r="J98" s="92"/>
      <c r="K98" s="92"/>
      <c r="L98" s="92"/>
      <c r="M98" s="92"/>
    </row>
    <row r="99" spans="1:15">
      <c r="A99" t="s">
        <v>3</v>
      </c>
      <c r="B99" s="93">
        <v>100</v>
      </c>
      <c r="C99" s="93">
        <v>100</v>
      </c>
      <c r="D99" s="93">
        <v>100</v>
      </c>
      <c r="E99" s="93">
        <v>100</v>
      </c>
      <c r="F99" s="93">
        <v>100</v>
      </c>
      <c r="G99" s="93">
        <v>100</v>
      </c>
      <c r="H99" s="93">
        <v>100</v>
      </c>
      <c r="I99" s="93">
        <v>100</v>
      </c>
      <c r="J99" s="93">
        <v>100</v>
      </c>
      <c r="K99" s="93">
        <v>100</v>
      </c>
      <c r="L99" s="93">
        <v>100</v>
      </c>
      <c r="M99" s="93">
        <v>100</v>
      </c>
    </row>
    <row r="100" spans="1:15">
      <c r="B100" s="93"/>
      <c r="C100" s="93"/>
      <c r="D100" s="93"/>
      <c r="E100" s="93"/>
      <c r="F100" s="93"/>
      <c r="G100" s="93"/>
      <c r="H100" s="93"/>
      <c r="I100" s="93"/>
      <c r="J100" s="93"/>
      <c r="K100" s="93"/>
      <c r="L100" s="93"/>
      <c r="M100" s="93"/>
    </row>
    <row r="101" spans="1:15">
      <c r="A101" t="s">
        <v>207</v>
      </c>
    </row>
    <row r="102" spans="1:15">
      <c r="A102" t="s">
        <v>0</v>
      </c>
      <c r="B102" s="90">
        <v>40634</v>
      </c>
      <c r="C102" s="90">
        <v>40664</v>
      </c>
      <c r="D102" s="90">
        <v>40695</v>
      </c>
      <c r="E102" s="90">
        <v>40725</v>
      </c>
      <c r="F102" s="90">
        <v>40756</v>
      </c>
      <c r="G102" s="90">
        <v>40787</v>
      </c>
      <c r="H102" s="90">
        <v>40817</v>
      </c>
      <c r="I102" s="90">
        <v>40848</v>
      </c>
      <c r="J102" s="90">
        <v>40878</v>
      </c>
      <c r="K102" s="90">
        <v>40909</v>
      </c>
      <c r="L102" s="90">
        <v>40940</v>
      </c>
      <c r="M102" s="90">
        <v>40969</v>
      </c>
      <c r="O102" t="s">
        <v>94</v>
      </c>
    </row>
    <row r="103" spans="1:15">
      <c r="A103" t="s">
        <v>1</v>
      </c>
      <c r="B103" s="93">
        <v>58</v>
      </c>
      <c r="C103" s="93">
        <v>34</v>
      </c>
      <c r="D103" s="93">
        <v>19</v>
      </c>
      <c r="E103" s="93">
        <v>0</v>
      </c>
      <c r="F103" s="93">
        <v>3</v>
      </c>
      <c r="G103" s="93">
        <v>21</v>
      </c>
      <c r="H103" s="93"/>
      <c r="I103" s="93"/>
      <c r="J103" s="93"/>
      <c r="K103" s="93"/>
      <c r="L103" s="93"/>
      <c r="M103" s="93"/>
      <c r="O103" s="195">
        <f>SUM(B103:M103)/$L$1</f>
        <v>22.5</v>
      </c>
    </row>
    <row r="104" spans="1:15">
      <c r="A104" t="s">
        <v>2</v>
      </c>
      <c r="B104" s="92">
        <f>B103</f>
        <v>58</v>
      </c>
      <c r="C104" s="92">
        <f>ROUND((C103+B103)/2,0)</f>
        <v>46</v>
      </c>
      <c r="D104" s="92">
        <f>ROUND((B103+D103+C103)/3,0)</f>
        <v>37</v>
      </c>
      <c r="E104" s="92">
        <f>ROUND((C103+E103+D103+B103)/4,0)</f>
        <v>28</v>
      </c>
      <c r="F104" s="92">
        <f>ROUND((D103+F103+E103+B103+C103)/5,0)</f>
        <v>23</v>
      </c>
      <c r="G104" s="92">
        <f>ROUND((E103+G103+F103+D103+C103+B103)/6,0)</f>
        <v>23</v>
      </c>
      <c r="H104" s="92"/>
      <c r="I104" s="92"/>
      <c r="J104" s="92"/>
      <c r="K104" s="92"/>
      <c r="L104" s="92"/>
      <c r="M104" s="92"/>
    </row>
    <row r="105" spans="1:15">
      <c r="A105" t="s">
        <v>3</v>
      </c>
      <c r="B105" s="93">
        <v>100</v>
      </c>
      <c r="C105" s="93">
        <v>100</v>
      </c>
      <c r="D105" s="93">
        <v>100</v>
      </c>
      <c r="E105" s="93">
        <v>100</v>
      </c>
      <c r="F105" s="93">
        <v>100</v>
      </c>
      <c r="G105" s="93">
        <v>100</v>
      </c>
      <c r="H105" s="93">
        <v>100</v>
      </c>
      <c r="I105" s="93">
        <v>100</v>
      </c>
      <c r="J105" s="93">
        <v>100</v>
      </c>
      <c r="K105" s="93">
        <v>100</v>
      </c>
      <c r="L105" s="93">
        <v>100</v>
      </c>
      <c r="M105" s="93">
        <v>100</v>
      </c>
    </row>
    <row r="106" spans="1:15">
      <c r="B106" s="93"/>
      <c r="C106" s="93"/>
      <c r="D106" s="93"/>
      <c r="E106" s="93"/>
      <c r="F106" s="93"/>
      <c r="G106" s="93"/>
      <c r="H106" s="93"/>
      <c r="I106" s="93"/>
      <c r="J106" s="93"/>
      <c r="K106" s="93"/>
      <c r="L106" s="93"/>
      <c r="M106" s="93"/>
    </row>
    <row r="107" spans="1:15">
      <c r="A107" t="s">
        <v>208</v>
      </c>
    </row>
    <row r="108" spans="1:15">
      <c r="A108" t="s">
        <v>0</v>
      </c>
      <c r="B108" s="90">
        <v>40634</v>
      </c>
      <c r="C108" s="90">
        <v>40664</v>
      </c>
      <c r="D108" s="90">
        <v>40695</v>
      </c>
      <c r="E108" s="90">
        <v>40725</v>
      </c>
      <c r="F108" s="90">
        <v>40756</v>
      </c>
      <c r="G108" s="90">
        <v>40787</v>
      </c>
      <c r="H108" s="90">
        <v>40817</v>
      </c>
      <c r="I108" s="90">
        <v>40848</v>
      </c>
      <c r="J108" s="90">
        <v>40878</v>
      </c>
      <c r="K108" s="90">
        <v>40909</v>
      </c>
      <c r="L108" s="90">
        <v>40940</v>
      </c>
      <c r="M108" s="90">
        <v>40969</v>
      </c>
      <c r="O108" t="s">
        <v>94</v>
      </c>
    </row>
    <row r="109" spans="1:15">
      <c r="A109" t="s">
        <v>1</v>
      </c>
      <c r="B109" s="93">
        <v>5110</v>
      </c>
      <c r="C109" s="93">
        <v>2757</v>
      </c>
      <c r="D109" s="93">
        <v>24</v>
      </c>
      <c r="E109" s="93">
        <v>44</v>
      </c>
      <c r="F109" s="93">
        <v>10</v>
      </c>
      <c r="G109" s="93">
        <v>8</v>
      </c>
      <c r="H109" s="93"/>
      <c r="I109" s="93"/>
      <c r="J109" s="93"/>
      <c r="K109" s="93"/>
      <c r="L109" s="93"/>
      <c r="M109" s="93"/>
      <c r="O109" s="195">
        <f>SUM(B109:M109)/$L$1</f>
        <v>1325.5</v>
      </c>
    </row>
    <row r="110" spans="1:15">
      <c r="A110" t="s">
        <v>2</v>
      </c>
      <c r="B110" s="92">
        <f>B109</f>
        <v>5110</v>
      </c>
      <c r="C110" s="92">
        <f>ROUND((C109+B109)/2,0)</f>
        <v>3934</v>
      </c>
      <c r="D110" s="92">
        <f>ROUND((B109+D109+C109)/3,0)</f>
        <v>2630</v>
      </c>
      <c r="E110" s="92">
        <f>ROUND((C109+E109+D109+B109)/4,0)</f>
        <v>1984</v>
      </c>
      <c r="F110" s="92">
        <f>ROUND((D109+F109+E109+B109+C109)/5,0)</f>
        <v>1589</v>
      </c>
      <c r="G110" s="92">
        <f>ROUND((E109+G109+F109+D109+C109+B109)/6,0)</f>
        <v>1326</v>
      </c>
      <c r="H110" s="92"/>
      <c r="I110" s="92"/>
      <c r="J110" s="92"/>
      <c r="K110" s="92"/>
      <c r="L110" s="92"/>
      <c r="M110" s="92"/>
    </row>
    <row r="111" spans="1:15">
      <c r="A111" t="s">
        <v>3</v>
      </c>
      <c r="B111" s="93">
        <v>100</v>
      </c>
      <c r="C111" s="93">
        <v>100</v>
      </c>
      <c r="D111" s="93">
        <v>100</v>
      </c>
      <c r="E111" s="93">
        <v>100</v>
      </c>
      <c r="F111" s="93">
        <v>100</v>
      </c>
      <c r="G111" s="93">
        <v>100</v>
      </c>
      <c r="H111" s="93">
        <v>100</v>
      </c>
      <c r="I111" s="93">
        <v>100</v>
      </c>
      <c r="J111" s="93">
        <v>100</v>
      </c>
      <c r="K111" s="93">
        <v>100</v>
      </c>
      <c r="L111" s="93">
        <v>100</v>
      </c>
      <c r="M111" s="93">
        <v>100</v>
      </c>
    </row>
    <row r="112" spans="1:15">
      <c r="B112" s="93"/>
      <c r="C112" s="93"/>
      <c r="D112" s="93"/>
      <c r="E112" s="93"/>
      <c r="F112" s="93"/>
      <c r="G112" s="93"/>
      <c r="H112" s="93"/>
      <c r="I112" s="93"/>
      <c r="J112" s="93"/>
      <c r="K112" s="93"/>
      <c r="L112" s="93"/>
      <c r="M112" s="93"/>
    </row>
    <row r="113" spans="1:15">
      <c r="B113" s="93"/>
      <c r="C113" s="93"/>
      <c r="D113" s="93"/>
      <c r="E113" s="93"/>
      <c r="F113" s="93"/>
      <c r="G113" s="93"/>
      <c r="H113" s="93"/>
      <c r="I113" s="93"/>
      <c r="J113" s="93"/>
      <c r="K113" s="93"/>
      <c r="L113" s="93"/>
      <c r="M113" s="93"/>
    </row>
    <row r="118" spans="1:15">
      <c r="A118" s="1" t="s">
        <v>107</v>
      </c>
    </row>
    <row r="119" spans="1:15">
      <c r="A119" t="s">
        <v>206</v>
      </c>
      <c r="B119" s="199">
        <v>40452</v>
      </c>
      <c r="C119" s="199">
        <v>40483</v>
      </c>
      <c r="D119" s="199">
        <v>40513</v>
      </c>
      <c r="E119" s="199">
        <v>40544</v>
      </c>
      <c r="F119" s="199">
        <v>40575</v>
      </c>
      <c r="G119" s="199">
        <v>40603</v>
      </c>
      <c r="H119" s="199">
        <v>40634</v>
      </c>
      <c r="I119" s="199">
        <v>40664</v>
      </c>
      <c r="J119" s="199">
        <v>40695</v>
      </c>
      <c r="K119" s="199">
        <v>40725</v>
      </c>
      <c r="L119" s="199">
        <v>40756</v>
      </c>
      <c r="M119" s="199">
        <v>40787</v>
      </c>
      <c r="N119" t="s">
        <v>94</v>
      </c>
    </row>
    <row r="120" spans="1:15">
      <c r="A120" t="s">
        <v>66</v>
      </c>
      <c r="B120" s="200">
        <v>0.98089999999999999</v>
      </c>
      <c r="C120" s="200">
        <v>0.97599999999999998</v>
      </c>
      <c r="D120" s="200">
        <v>0.97860000000000003</v>
      </c>
      <c r="E120" s="161">
        <v>0.92869999999999997</v>
      </c>
      <c r="F120" s="161">
        <v>0.94169999999999998</v>
      </c>
      <c r="G120" s="161">
        <v>0.96619999999999995</v>
      </c>
      <c r="H120" s="161">
        <v>0.98740000000000006</v>
      </c>
      <c r="I120" s="161">
        <v>0.97489999999999999</v>
      </c>
      <c r="J120" s="161">
        <v>0.98760000000000003</v>
      </c>
      <c r="K120" s="161">
        <v>0.98680000000000001</v>
      </c>
      <c r="L120" s="161">
        <v>0.96130000000000004</v>
      </c>
      <c r="M120" s="161">
        <v>0.95860000000000001</v>
      </c>
      <c r="N120" s="154">
        <f>SUM(H120:M120)/$L$1</f>
        <v>0.97609999999999986</v>
      </c>
      <c r="O120" s="154">
        <f>SUM(B120:J120)/12</f>
        <v>0.72683333333333333</v>
      </c>
    </row>
    <row r="121" spans="1:15">
      <c r="A121" t="s">
        <v>67</v>
      </c>
      <c r="B121" s="200">
        <v>0.81520000000000004</v>
      </c>
      <c r="C121" s="200">
        <v>0.91620000000000001</v>
      </c>
      <c r="D121" s="200">
        <v>0.79059999999999997</v>
      </c>
      <c r="E121" s="161">
        <v>0.89139999999999997</v>
      </c>
      <c r="F121" s="161">
        <v>0.75819999999999999</v>
      </c>
      <c r="G121" s="161">
        <v>0.59519999999999995</v>
      </c>
      <c r="H121" s="161">
        <v>0.94769999999999999</v>
      </c>
      <c r="I121" s="161">
        <v>0.91920000000000002</v>
      </c>
      <c r="J121" s="161">
        <v>0.90659999999999996</v>
      </c>
      <c r="K121" s="161">
        <v>0.71940000000000004</v>
      </c>
      <c r="L121" s="161">
        <v>0.79900000000000004</v>
      </c>
      <c r="M121" s="161">
        <v>0.7177</v>
      </c>
      <c r="N121" s="154">
        <f>SUM(H121:M121)/$L$1</f>
        <v>0.83493333333333331</v>
      </c>
      <c r="O121" s="154">
        <f>SUM(B121:J121)/12</f>
        <v>0.62835833333333335</v>
      </c>
    </row>
    <row r="122" spans="1:15">
      <c r="A122" t="s">
        <v>68</v>
      </c>
      <c r="B122" s="162">
        <v>0.95</v>
      </c>
      <c r="C122" s="162">
        <v>0.95</v>
      </c>
      <c r="D122" s="162">
        <v>0.95</v>
      </c>
      <c r="E122" s="162">
        <v>0.95</v>
      </c>
      <c r="F122" s="162">
        <v>0.95</v>
      </c>
      <c r="G122" s="162">
        <v>0.95</v>
      </c>
      <c r="H122" s="162">
        <v>0.95</v>
      </c>
      <c r="I122" s="162">
        <v>0.95</v>
      </c>
      <c r="J122" s="162">
        <v>0.95</v>
      </c>
      <c r="K122" s="162">
        <v>0.95</v>
      </c>
      <c r="L122" s="162">
        <v>0.95</v>
      </c>
      <c r="M122" s="162">
        <v>0.95</v>
      </c>
    </row>
    <row r="124" spans="1:15">
      <c r="K124" s="257"/>
      <c r="L124" s="257"/>
      <c r="M124" s="257"/>
    </row>
    <row r="125" spans="1:15">
      <c r="A125" t="s">
        <v>207</v>
      </c>
      <c r="B125" s="199">
        <v>40452</v>
      </c>
      <c r="C125" s="199">
        <v>40483</v>
      </c>
      <c r="D125" s="199">
        <v>40513</v>
      </c>
      <c r="E125" s="199">
        <v>40544</v>
      </c>
      <c r="F125" s="199">
        <v>40575</v>
      </c>
      <c r="G125" s="199">
        <v>40603</v>
      </c>
      <c r="H125" s="199">
        <v>40634</v>
      </c>
      <c r="I125" s="199">
        <v>40664</v>
      </c>
      <c r="J125" s="199">
        <v>40695</v>
      </c>
      <c r="K125" s="199">
        <v>40725</v>
      </c>
      <c r="L125" s="199">
        <v>40756</v>
      </c>
      <c r="M125" s="199">
        <v>40787</v>
      </c>
      <c r="N125" t="s">
        <v>94</v>
      </c>
    </row>
    <row r="126" spans="1:15">
      <c r="A126" t="s">
        <v>66</v>
      </c>
      <c r="B126" s="161">
        <v>0.98660000000000003</v>
      </c>
      <c r="C126" s="161">
        <v>0.98340000000000005</v>
      </c>
      <c r="D126" s="161">
        <v>0.96750000000000003</v>
      </c>
      <c r="E126" s="161">
        <v>0.95</v>
      </c>
      <c r="F126" s="161">
        <v>0.98370000000000002</v>
      </c>
      <c r="G126" s="161">
        <v>0.97130000000000005</v>
      </c>
      <c r="H126" s="161">
        <v>0.98399999999999999</v>
      </c>
      <c r="I126" s="161">
        <v>0.9889</v>
      </c>
      <c r="J126" s="161">
        <v>0.96860000000000002</v>
      </c>
      <c r="K126" s="161">
        <v>0.9859</v>
      </c>
      <c r="L126" s="161">
        <v>0.96109999999999995</v>
      </c>
      <c r="M126" s="161">
        <v>0.9516</v>
      </c>
      <c r="N126" s="154">
        <f>SUM(H126:M126)/$L$1</f>
        <v>0.97334999999999994</v>
      </c>
      <c r="O126" s="154">
        <f>SUM(B126:M126)/12</f>
        <v>0.97355000000000003</v>
      </c>
    </row>
    <row r="127" spans="1:15">
      <c r="A127" t="s">
        <v>67</v>
      </c>
      <c r="B127" s="161">
        <v>0.93320000000000003</v>
      </c>
      <c r="C127" s="161">
        <v>0.93269999999999997</v>
      </c>
      <c r="D127" s="161">
        <v>0.92979999999999996</v>
      </c>
      <c r="E127" s="161">
        <v>0.85880000000000001</v>
      </c>
      <c r="F127" s="161">
        <v>0.91479999999999995</v>
      </c>
      <c r="G127" s="161">
        <v>0.84099999999999997</v>
      </c>
      <c r="H127" s="161">
        <v>0.91720000000000002</v>
      </c>
      <c r="I127" s="161">
        <v>0.88170000000000004</v>
      </c>
      <c r="J127" s="161">
        <v>0.79310000000000003</v>
      </c>
      <c r="K127" s="161">
        <v>0.83240000000000003</v>
      </c>
      <c r="L127" s="161">
        <v>0.82389999999999997</v>
      </c>
      <c r="M127" s="161">
        <v>0.57379999999999998</v>
      </c>
      <c r="N127" s="154">
        <f>SUM(H127:M127)/$L$1</f>
        <v>0.80368333333333342</v>
      </c>
      <c r="O127" s="154">
        <f>SUM(B127:M127)/12</f>
        <v>0.85270000000000012</v>
      </c>
    </row>
    <row r="128" spans="1:15">
      <c r="A128" t="s">
        <v>68</v>
      </c>
      <c r="B128" s="162">
        <v>0.95</v>
      </c>
      <c r="C128" s="162">
        <v>0.95</v>
      </c>
      <c r="D128" s="162">
        <v>0.95</v>
      </c>
      <c r="E128" s="162">
        <v>0.95</v>
      </c>
      <c r="F128" s="162">
        <v>0.95</v>
      </c>
      <c r="G128" s="162">
        <v>0.95</v>
      </c>
      <c r="H128" s="162">
        <v>0.95</v>
      </c>
      <c r="I128" s="162">
        <v>0.95</v>
      </c>
      <c r="J128" s="162">
        <v>0.95</v>
      </c>
      <c r="K128" s="162">
        <v>0.95</v>
      </c>
      <c r="L128" s="162">
        <v>0.95</v>
      </c>
      <c r="M128" s="162">
        <v>0.95</v>
      </c>
    </row>
    <row r="131" spans="1:15">
      <c r="A131" t="s">
        <v>208</v>
      </c>
      <c r="B131" s="199">
        <v>40452</v>
      </c>
      <c r="C131" s="199">
        <v>40483</v>
      </c>
      <c r="D131" s="199">
        <v>40513</v>
      </c>
      <c r="E131" s="199">
        <v>40544</v>
      </c>
      <c r="F131" s="199">
        <v>40575</v>
      </c>
      <c r="G131" s="199">
        <v>40603</v>
      </c>
      <c r="H131" s="199">
        <v>40634</v>
      </c>
      <c r="I131" s="199">
        <v>40664</v>
      </c>
      <c r="J131" s="199">
        <v>40695</v>
      </c>
      <c r="K131" s="199">
        <v>40725</v>
      </c>
      <c r="L131" s="199">
        <v>40756</v>
      </c>
      <c r="M131" s="199">
        <v>40787</v>
      </c>
      <c r="N131" t="s">
        <v>94</v>
      </c>
    </row>
    <row r="132" spans="1:15">
      <c r="A132" t="s">
        <v>66</v>
      </c>
      <c r="B132" s="200"/>
      <c r="C132" s="200"/>
      <c r="D132" s="200"/>
      <c r="E132" s="161"/>
      <c r="F132" s="161"/>
      <c r="G132" s="161"/>
      <c r="H132" s="161">
        <v>0.9839</v>
      </c>
      <c r="I132" s="161">
        <v>0.99039999999999995</v>
      </c>
      <c r="J132" s="161">
        <v>0.98829999999999996</v>
      </c>
      <c r="K132" s="161">
        <v>0.88290000000000002</v>
      </c>
      <c r="L132" s="161">
        <v>0.87170000000000003</v>
      </c>
      <c r="M132" s="161">
        <v>0.94320000000000004</v>
      </c>
      <c r="N132" s="154">
        <f>SUM(H132:M132)/$L$1</f>
        <v>0.94340000000000002</v>
      </c>
      <c r="O132" s="154">
        <f>SUM(B132:M132)/12</f>
        <v>0.47170000000000001</v>
      </c>
    </row>
    <row r="133" spans="1:15">
      <c r="A133" t="s">
        <v>67</v>
      </c>
      <c r="B133" s="200"/>
      <c r="C133" s="200"/>
      <c r="D133" s="200"/>
      <c r="E133" s="161"/>
      <c r="F133" s="161"/>
      <c r="G133" s="161"/>
      <c r="H133" s="161">
        <v>0.95640000000000003</v>
      </c>
      <c r="I133" s="161">
        <v>0.84560000000000002</v>
      </c>
      <c r="J133" s="161">
        <v>0.86460000000000004</v>
      </c>
      <c r="K133" s="161">
        <v>0.67949999999999999</v>
      </c>
      <c r="L133" s="161">
        <v>0.57440000000000002</v>
      </c>
      <c r="M133" s="161">
        <v>0.75119999999999998</v>
      </c>
      <c r="N133" s="154">
        <f>SUM(H133:M133)/$L$1</f>
        <v>0.77861666666666662</v>
      </c>
      <c r="O133" s="154">
        <f>SUM(B133:M133)/12</f>
        <v>0.38930833333333331</v>
      </c>
    </row>
    <row r="134" spans="1:15">
      <c r="A134" t="s">
        <v>68</v>
      </c>
      <c r="B134" s="162">
        <v>0.95</v>
      </c>
      <c r="C134" s="162">
        <v>0.95</v>
      </c>
      <c r="D134" s="162">
        <v>0.95</v>
      </c>
      <c r="E134" s="162">
        <v>0.95</v>
      </c>
      <c r="F134" s="162">
        <v>0.95</v>
      </c>
      <c r="G134" s="162">
        <v>0.95</v>
      </c>
      <c r="H134" s="162">
        <v>0.95</v>
      </c>
      <c r="I134" s="162">
        <v>0.95</v>
      </c>
      <c r="J134" s="162">
        <v>0.95</v>
      </c>
      <c r="K134" s="162">
        <v>0.95</v>
      </c>
      <c r="L134" s="162">
        <v>0.95</v>
      </c>
      <c r="M134" s="162">
        <v>0.95</v>
      </c>
    </row>
  </sheetData>
  <customSheetViews>
    <customSheetView guid="{14394872-1C6D-42D5-AD0E-8F152B5DEE00}" fitToPage="1">
      <selection activeCell="H9" sqref="H9"/>
      <pageMargins left="0.75" right="0.75" top="1" bottom="1" header="0.5" footer="0.5"/>
      <pageSetup paperSize="9" scale="77" orientation="landscape" r:id="rId1"/>
      <headerFooter alignWithMargins="0"/>
    </customSheetView>
  </customSheetViews>
  <phoneticPr fontId="2" type="noConversion"/>
  <pageMargins left="0.75" right="0.75" top="1" bottom="1" header="0.5" footer="0.5"/>
  <pageSetup paperSize="9" scale="77" orientation="landscape" r:id="rId2"/>
  <headerFooter alignWithMargins="0"/>
</worksheet>
</file>

<file path=xl/worksheets/sheet17.xml><?xml version="1.0" encoding="utf-8"?>
<worksheet xmlns="http://schemas.openxmlformats.org/spreadsheetml/2006/main" xmlns:r="http://schemas.openxmlformats.org/officeDocument/2006/relationships">
  <dimension ref="B1:O130"/>
  <sheetViews>
    <sheetView topLeftCell="C111" workbookViewId="0">
      <selection activeCell="N128" sqref="N128:N130"/>
    </sheetView>
  </sheetViews>
  <sheetFormatPr defaultRowHeight="12.75"/>
  <cols>
    <col min="2" max="2" width="28.28515625" bestFit="1" customWidth="1"/>
    <col min="4" max="4" width="28.28515625" bestFit="1" customWidth="1"/>
    <col min="6" max="6" width="15.5703125" bestFit="1" customWidth="1"/>
    <col min="8" max="9" width="11" bestFit="1" customWidth="1"/>
    <col min="12" max="13" width="12" bestFit="1" customWidth="1"/>
    <col min="14" max="14" width="11.85546875" bestFit="1" customWidth="1"/>
  </cols>
  <sheetData>
    <row r="1" spans="2:15" s="401" customFormat="1" ht="18" customHeight="1">
      <c r="B1" s="402" t="s">
        <v>358</v>
      </c>
      <c r="C1" s="542" t="s">
        <v>359</v>
      </c>
      <c r="D1" s="542"/>
      <c r="E1" s="542"/>
      <c r="F1" s="542"/>
      <c r="G1" s="542"/>
      <c r="H1" s="542"/>
      <c r="I1" s="542"/>
      <c r="J1" s="542"/>
      <c r="K1" s="542"/>
      <c r="L1" s="542"/>
      <c r="M1" s="542"/>
      <c r="N1" s="542"/>
      <c r="O1" s="542"/>
    </row>
    <row r="2" spans="2:15" s="401" customFormat="1" ht="18" customHeight="1">
      <c r="B2" s="402"/>
      <c r="C2" s="542" t="s">
        <v>360</v>
      </c>
      <c r="D2" s="542"/>
      <c r="E2" s="542"/>
      <c r="F2" s="542"/>
      <c r="G2" s="542"/>
      <c r="H2" s="542"/>
      <c r="I2" s="542"/>
      <c r="J2" s="542"/>
      <c r="K2" s="542"/>
      <c r="L2" s="542"/>
      <c r="M2" s="542"/>
      <c r="N2" s="542"/>
      <c r="O2" s="542"/>
    </row>
    <row r="3" spans="2:15" s="401" customFormat="1" ht="18" customHeight="1">
      <c r="B3" s="402"/>
      <c r="C3" s="542" t="s">
        <v>361</v>
      </c>
      <c r="D3" s="542"/>
      <c r="E3" s="542"/>
      <c r="F3" s="542"/>
      <c r="G3" s="542"/>
      <c r="H3" s="542"/>
      <c r="I3" s="542"/>
      <c r="J3" s="542"/>
      <c r="K3" s="542"/>
      <c r="L3" s="542"/>
      <c r="M3" s="542"/>
      <c r="N3" s="542"/>
      <c r="O3" s="542"/>
    </row>
    <row r="4" spans="2:15" s="401" customFormat="1" ht="18" customHeight="1">
      <c r="B4" s="403"/>
      <c r="C4" s="403" t="s">
        <v>112</v>
      </c>
      <c r="D4" s="403" t="s">
        <v>113</v>
      </c>
      <c r="E4" s="403"/>
      <c r="F4" s="403" t="s">
        <v>114</v>
      </c>
      <c r="G4" s="403"/>
      <c r="H4" s="403" t="s">
        <v>115</v>
      </c>
      <c r="I4" s="403" t="s">
        <v>116</v>
      </c>
      <c r="J4" s="403" t="s">
        <v>118</v>
      </c>
      <c r="K4" s="403"/>
      <c r="L4" s="403" t="s">
        <v>117</v>
      </c>
      <c r="M4" s="403" t="s">
        <v>109</v>
      </c>
      <c r="N4" s="403" t="s">
        <v>72</v>
      </c>
      <c r="O4" s="403" t="s">
        <v>157</v>
      </c>
    </row>
    <row r="5" spans="2:15" s="401" customFormat="1" ht="18" customHeight="1">
      <c r="B5" s="404" t="s">
        <v>362</v>
      </c>
      <c r="C5" s="404" t="s">
        <v>24</v>
      </c>
      <c r="D5" s="404" t="s">
        <v>24</v>
      </c>
      <c r="E5" s="404"/>
      <c r="F5" s="405">
        <v>-596109768.80999994</v>
      </c>
      <c r="G5" s="404"/>
      <c r="H5" s="405">
        <v>-49454512.119999997</v>
      </c>
      <c r="I5" s="405">
        <v>-49454512</v>
      </c>
      <c r="J5" s="405">
        <v>-0.11999999731779099</v>
      </c>
      <c r="K5" s="404"/>
      <c r="L5" s="405">
        <v>-294652885.95999998</v>
      </c>
      <c r="M5" s="405">
        <v>-294652886</v>
      </c>
      <c r="N5" s="405">
        <v>4.0000021457672119E-2</v>
      </c>
      <c r="O5" s="406" t="s">
        <v>90</v>
      </c>
    </row>
    <row r="6" spans="2:15" s="401" customFormat="1" ht="18" customHeight="1">
      <c r="B6" s="404" t="s">
        <v>362</v>
      </c>
      <c r="C6" s="404" t="s">
        <v>17</v>
      </c>
      <c r="D6" s="404" t="s">
        <v>17</v>
      </c>
      <c r="E6" s="404"/>
      <c r="F6" s="405">
        <v>4690000</v>
      </c>
      <c r="G6" s="404"/>
      <c r="H6" s="405">
        <v>-160417</v>
      </c>
      <c r="I6" s="405">
        <v>0</v>
      </c>
      <c r="J6" s="405">
        <v>-160417</v>
      </c>
      <c r="K6" s="404"/>
      <c r="L6" s="405">
        <v>1045000</v>
      </c>
      <c r="M6" s="405">
        <v>-0.02</v>
      </c>
      <c r="N6" s="405">
        <v>1045000.02</v>
      </c>
      <c r="O6" s="406" t="s">
        <v>90</v>
      </c>
    </row>
    <row r="7" spans="2:15" s="401" customFormat="1" ht="18" customHeight="1">
      <c r="B7" s="404" t="s">
        <v>362</v>
      </c>
      <c r="C7" s="404" t="s">
        <v>363</v>
      </c>
      <c r="D7" s="404" t="s">
        <v>111</v>
      </c>
      <c r="E7" s="404"/>
      <c r="F7" s="405">
        <v>0</v>
      </c>
      <c r="G7" s="404"/>
      <c r="H7" s="405">
        <v>0</v>
      </c>
      <c r="I7" s="405">
        <v>945.79000000000292</v>
      </c>
      <c r="J7" s="405">
        <v>-945.79000000000292</v>
      </c>
      <c r="K7" s="404"/>
      <c r="L7" s="405">
        <v>0</v>
      </c>
      <c r="M7" s="405">
        <v>-14.450000000044383</v>
      </c>
      <c r="N7" s="405">
        <v>14.450000000044383</v>
      </c>
      <c r="O7" s="406" t="s">
        <v>90</v>
      </c>
    </row>
    <row r="8" spans="2:15" s="401" customFormat="1" ht="18" customHeight="1">
      <c r="B8" s="404" t="s">
        <v>362</v>
      </c>
      <c r="C8" s="404" t="s">
        <v>363</v>
      </c>
      <c r="D8" s="404" t="s">
        <v>364</v>
      </c>
      <c r="E8" s="404"/>
      <c r="F8" s="405">
        <v>-1.5541445907985008E-10</v>
      </c>
      <c r="G8" s="404"/>
      <c r="H8" s="405">
        <v>1.2514645569838834E-11</v>
      </c>
      <c r="I8" s="405">
        <v>14.670000000044638</v>
      </c>
      <c r="J8" s="405">
        <v>-14.670000000032124</v>
      </c>
      <c r="K8" s="404"/>
      <c r="L8" s="405">
        <v>1.5512341411394459E-10</v>
      </c>
      <c r="M8" s="405">
        <v>14.449999999993452</v>
      </c>
      <c r="N8" s="405">
        <v>-14.449999999838328</v>
      </c>
      <c r="O8" s="407" t="s">
        <v>149</v>
      </c>
    </row>
    <row r="9" spans="2:15" s="401" customFormat="1" ht="18" customHeight="1">
      <c r="B9" s="404" t="s">
        <v>362</v>
      </c>
      <c r="C9" s="404" t="s">
        <v>365</v>
      </c>
      <c r="D9" s="404" t="s">
        <v>366</v>
      </c>
      <c r="E9" s="404"/>
      <c r="F9" s="405">
        <v>602319.01</v>
      </c>
      <c r="G9" s="404"/>
      <c r="H9" s="405">
        <v>87933.25</v>
      </c>
      <c r="I9" s="405">
        <v>94870</v>
      </c>
      <c r="J9" s="405">
        <v>-6936.75</v>
      </c>
      <c r="K9" s="404"/>
      <c r="L9" s="405">
        <v>301159.5</v>
      </c>
      <c r="M9" s="405">
        <v>300359.95</v>
      </c>
      <c r="N9" s="405">
        <v>799.54999999998836</v>
      </c>
      <c r="O9" s="406" t="s">
        <v>90</v>
      </c>
    </row>
    <row r="10" spans="2:15" s="401" customFormat="1" ht="18" customHeight="1">
      <c r="B10" s="404" t="s">
        <v>362</v>
      </c>
      <c r="C10" s="404" t="s">
        <v>365</v>
      </c>
      <c r="D10" s="404" t="s">
        <v>39</v>
      </c>
      <c r="E10" s="404"/>
      <c r="F10" s="405">
        <v>4057079</v>
      </c>
      <c r="G10" s="404"/>
      <c r="H10" s="405">
        <v>399522.64999999991</v>
      </c>
      <c r="I10" s="405">
        <v>259737.6400000001</v>
      </c>
      <c r="J10" s="405">
        <v>139785.00999999981</v>
      </c>
      <c r="K10" s="404"/>
      <c r="L10" s="405">
        <v>2056655.5</v>
      </c>
      <c r="M10" s="405">
        <v>1949583.0799999998</v>
      </c>
      <c r="N10" s="405">
        <v>107072.42000000016</v>
      </c>
      <c r="O10" s="406" t="s">
        <v>90</v>
      </c>
    </row>
    <row r="11" spans="2:15" s="401" customFormat="1" ht="18" customHeight="1">
      <c r="B11" s="404" t="s">
        <v>362</v>
      </c>
      <c r="C11" s="404" t="s">
        <v>365</v>
      </c>
      <c r="D11" s="404" t="s">
        <v>367</v>
      </c>
      <c r="E11" s="404"/>
      <c r="F11" s="405">
        <v>2662836</v>
      </c>
      <c r="G11" s="404"/>
      <c r="H11" s="405">
        <v>114149.95000000003</v>
      </c>
      <c r="I11" s="405">
        <v>227199.83</v>
      </c>
      <c r="J11" s="405">
        <v>-113049.87999999999</v>
      </c>
      <c r="K11" s="404"/>
      <c r="L11" s="405">
        <v>1297379.68</v>
      </c>
      <c r="M11" s="405">
        <v>1410156.5900000005</v>
      </c>
      <c r="N11" s="405">
        <v>-112776.91000000061</v>
      </c>
      <c r="O11" s="408" t="s">
        <v>12</v>
      </c>
    </row>
    <row r="12" spans="2:15" s="401" customFormat="1" ht="18" customHeight="1">
      <c r="B12" s="404" t="s">
        <v>362</v>
      </c>
      <c r="C12" s="404" t="s">
        <v>365</v>
      </c>
      <c r="D12" s="404" t="s">
        <v>111</v>
      </c>
      <c r="E12" s="404"/>
      <c r="F12" s="405">
        <v>3134731.3499999996</v>
      </c>
      <c r="G12" s="404"/>
      <c r="H12" s="405">
        <v>1039394.29</v>
      </c>
      <c r="I12" s="405">
        <v>497258.11999999936</v>
      </c>
      <c r="J12" s="405">
        <v>542136.17000000062</v>
      </c>
      <c r="K12" s="404"/>
      <c r="L12" s="405">
        <v>2107615.7400000002</v>
      </c>
      <c r="M12" s="405">
        <v>1851422.2299999997</v>
      </c>
      <c r="N12" s="405">
        <v>256193.51000000047</v>
      </c>
      <c r="O12" s="406" t="s">
        <v>90</v>
      </c>
    </row>
    <row r="13" spans="2:15" s="401" customFormat="1" ht="18" customHeight="1">
      <c r="B13" s="404" t="s">
        <v>362</v>
      </c>
      <c r="C13" s="404" t="s">
        <v>365</v>
      </c>
      <c r="D13" s="404" t="s">
        <v>368</v>
      </c>
      <c r="E13" s="404"/>
      <c r="F13" s="405">
        <v>1604601</v>
      </c>
      <c r="G13" s="404"/>
      <c r="H13" s="405">
        <v>169703.25</v>
      </c>
      <c r="I13" s="405">
        <v>125695.88999999998</v>
      </c>
      <c r="J13" s="405">
        <v>44007.360000000015</v>
      </c>
      <c r="K13" s="404"/>
      <c r="L13" s="405">
        <v>802300.5</v>
      </c>
      <c r="M13" s="405">
        <v>758702.23</v>
      </c>
      <c r="N13" s="405">
        <v>43598.270000000019</v>
      </c>
      <c r="O13" s="406" t="s">
        <v>90</v>
      </c>
    </row>
    <row r="14" spans="2:15" s="401" customFormat="1" ht="18" customHeight="1">
      <c r="B14" s="404" t="s">
        <v>362</v>
      </c>
      <c r="C14" s="404" t="s">
        <v>365</v>
      </c>
      <c r="D14" s="404" t="s">
        <v>369</v>
      </c>
      <c r="E14" s="404"/>
      <c r="F14" s="405">
        <v>804000</v>
      </c>
      <c r="G14" s="404"/>
      <c r="H14" s="405">
        <v>233666.66</v>
      </c>
      <c r="I14" s="405">
        <v>241050.12999999998</v>
      </c>
      <c r="J14" s="405">
        <v>-7383.4699999999721</v>
      </c>
      <c r="K14" s="404"/>
      <c r="L14" s="405">
        <v>401999.98</v>
      </c>
      <c r="M14" s="405">
        <v>409371.96</v>
      </c>
      <c r="N14" s="405">
        <v>-7371.9799999999814</v>
      </c>
      <c r="O14" s="407" t="s">
        <v>149</v>
      </c>
    </row>
    <row r="15" spans="2:15" s="401" customFormat="1" ht="18" customHeight="1">
      <c r="B15" s="404" t="s">
        <v>362</v>
      </c>
      <c r="C15" s="404" t="s">
        <v>365</v>
      </c>
      <c r="D15" s="404" t="s">
        <v>370</v>
      </c>
      <c r="E15" s="404"/>
      <c r="F15" s="405">
        <v>-276782.76</v>
      </c>
      <c r="G15" s="404"/>
      <c r="H15" s="405">
        <v>-138397.42000000001</v>
      </c>
      <c r="I15" s="405">
        <v>477579.09</v>
      </c>
      <c r="J15" s="405">
        <v>-615976.51</v>
      </c>
      <c r="K15" s="404"/>
      <c r="L15" s="405">
        <v>-138397.42000000001</v>
      </c>
      <c r="M15" s="405">
        <v>477578.6</v>
      </c>
      <c r="N15" s="405">
        <v>-615976.02</v>
      </c>
      <c r="O15" s="408" t="s">
        <v>12</v>
      </c>
    </row>
    <row r="16" spans="2:15" s="401" customFormat="1" ht="18" customHeight="1">
      <c r="B16" s="404" t="s">
        <v>362</v>
      </c>
      <c r="C16" s="404" t="s">
        <v>371</v>
      </c>
      <c r="D16" s="404" t="s">
        <v>372</v>
      </c>
      <c r="E16" s="404"/>
      <c r="F16" s="405">
        <v>2626106.48</v>
      </c>
      <c r="G16" s="404"/>
      <c r="H16" s="405">
        <v>137163.85</v>
      </c>
      <c r="I16" s="405">
        <v>-227341</v>
      </c>
      <c r="J16" s="405">
        <v>364504.85</v>
      </c>
      <c r="K16" s="404"/>
      <c r="L16" s="405">
        <v>900983.10000000009</v>
      </c>
      <c r="M16" s="405">
        <v>360284.19999999984</v>
      </c>
      <c r="N16" s="405">
        <v>540698.90000000026</v>
      </c>
      <c r="O16" s="406" t="s">
        <v>90</v>
      </c>
    </row>
    <row r="17" spans="2:15" s="401" customFormat="1" ht="18" customHeight="1">
      <c r="B17" s="404" t="s">
        <v>362</v>
      </c>
      <c r="C17" s="404" t="s">
        <v>371</v>
      </c>
      <c r="D17" s="404" t="s">
        <v>373</v>
      </c>
      <c r="E17" s="404"/>
      <c r="F17" s="405">
        <v>12932367.060000001</v>
      </c>
      <c r="G17" s="404"/>
      <c r="H17" s="405">
        <v>1077697.27</v>
      </c>
      <c r="I17" s="405">
        <v>1352927.1700000002</v>
      </c>
      <c r="J17" s="405">
        <v>-275229.90000000014</v>
      </c>
      <c r="K17" s="404"/>
      <c r="L17" s="405">
        <v>6466183.6199999982</v>
      </c>
      <c r="M17" s="405">
        <v>7002670.2399999993</v>
      </c>
      <c r="N17" s="405">
        <v>-536486.62000000104</v>
      </c>
      <c r="O17" s="408" t="s">
        <v>12</v>
      </c>
    </row>
    <row r="18" spans="2:15" s="401" customFormat="1" ht="18" customHeight="1">
      <c r="B18" s="404" t="s">
        <v>362</v>
      </c>
      <c r="C18" s="404" t="s">
        <v>374</v>
      </c>
      <c r="D18" s="404" t="s">
        <v>36</v>
      </c>
      <c r="E18" s="404"/>
      <c r="F18" s="405">
        <v>3315136.2700000005</v>
      </c>
      <c r="G18" s="404"/>
      <c r="H18" s="405">
        <v>276261.34999999998</v>
      </c>
      <c r="I18" s="405">
        <v>293908.69000000006</v>
      </c>
      <c r="J18" s="405">
        <v>-17647.340000000084</v>
      </c>
      <c r="K18" s="404"/>
      <c r="L18" s="405">
        <v>1657568.1000000003</v>
      </c>
      <c r="M18" s="405">
        <v>1763452.09</v>
      </c>
      <c r="N18" s="405">
        <v>-105883.98999999976</v>
      </c>
      <c r="O18" s="408" t="s">
        <v>12</v>
      </c>
    </row>
    <row r="19" spans="2:15" s="401" customFormat="1" ht="18" customHeight="1">
      <c r="B19" s="404" t="s">
        <v>362</v>
      </c>
      <c r="C19" s="404" t="s">
        <v>374</v>
      </c>
      <c r="D19" s="404" t="s">
        <v>89</v>
      </c>
      <c r="E19" s="404"/>
      <c r="F19" s="405">
        <v>45835425.039999992</v>
      </c>
      <c r="G19" s="404"/>
      <c r="H19" s="405">
        <v>3682109.4700000007</v>
      </c>
      <c r="I19" s="405">
        <v>3752791.0999999973</v>
      </c>
      <c r="J19" s="405">
        <v>-70681.629999996629</v>
      </c>
      <c r="K19" s="404"/>
      <c r="L19" s="405">
        <v>23278694.799999997</v>
      </c>
      <c r="M19" s="405">
        <v>23349113.359999992</v>
      </c>
      <c r="N19" s="405">
        <v>-70418.559999994934</v>
      </c>
      <c r="O19" s="407" t="s">
        <v>149</v>
      </c>
    </row>
    <row r="20" spans="2:15" s="401" customFormat="1" ht="18" customHeight="1">
      <c r="B20" s="404" t="s">
        <v>362</v>
      </c>
      <c r="C20" s="404" t="s">
        <v>374</v>
      </c>
      <c r="D20" s="404" t="s">
        <v>34</v>
      </c>
      <c r="E20" s="404"/>
      <c r="F20" s="405">
        <v>3678283.1000000006</v>
      </c>
      <c r="G20" s="404"/>
      <c r="H20" s="405">
        <v>298039.72000000003</v>
      </c>
      <c r="I20" s="405">
        <v>334159.95999999996</v>
      </c>
      <c r="J20" s="405">
        <v>-36120.239999999932</v>
      </c>
      <c r="K20" s="404"/>
      <c r="L20" s="405">
        <v>1890044.62</v>
      </c>
      <c r="M20" s="405">
        <v>2135143.3099999996</v>
      </c>
      <c r="N20" s="405">
        <v>-245098.68999999971</v>
      </c>
      <c r="O20" s="408" t="s">
        <v>12</v>
      </c>
    </row>
    <row r="21" spans="2:15" s="401" customFormat="1" ht="18" customHeight="1">
      <c r="B21" s="404" t="s">
        <v>362</v>
      </c>
      <c r="C21" s="404" t="s">
        <v>374</v>
      </c>
      <c r="D21" s="404" t="s">
        <v>30</v>
      </c>
      <c r="E21" s="404"/>
      <c r="F21" s="405">
        <v>64575733.859999999</v>
      </c>
      <c r="G21" s="404"/>
      <c r="H21" s="405">
        <v>4721198.9300000006</v>
      </c>
      <c r="I21" s="405">
        <v>4716746.8200000022</v>
      </c>
      <c r="J21" s="405">
        <v>4452.1099999984726</v>
      </c>
      <c r="K21" s="404"/>
      <c r="L21" s="405">
        <v>28327193.520000007</v>
      </c>
      <c r="M21" s="405">
        <v>28487955.929999996</v>
      </c>
      <c r="N21" s="405">
        <v>-160762.40999998897</v>
      </c>
      <c r="O21" s="408" t="s">
        <v>12</v>
      </c>
    </row>
    <row r="22" spans="2:15" s="401" customFormat="1" ht="18" customHeight="1">
      <c r="B22" s="404" t="s">
        <v>362</v>
      </c>
      <c r="C22" s="404" t="s">
        <v>374</v>
      </c>
      <c r="D22" s="404" t="s">
        <v>33</v>
      </c>
      <c r="E22" s="404"/>
      <c r="F22" s="405">
        <v>8885363.75</v>
      </c>
      <c r="G22" s="404"/>
      <c r="H22" s="405">
        <v>769363.64</v>
      </c>
      <c r="I22" s="405">
        <v>800545.08</v>
      </c>
      <c r="J22" s="405">
        <v>-31181.440000000061</v>
      </c>
      <c r="K22" s="404"/>
      <c r="L22" s="405">
        <v>4616181.84</v>
      </c>
      <c r="M22" s="405">
        <v>4779280.7600000007</v>
      </c>
      <c r="N22" s="405">
        <v>-163098.92000000086</v>
      </c>
      <c r="O22" s="408" t="s">
        <v>12</v>
      </c>
    </row>
    <row r="23" spans="2:15" s="401" customFormat="1" ht="18" customHeight="1">
      <c r="B23" s="404" t="s">
        <v>362</v>
      </c>
      <c r="C23" s="404" t="s">
        <v>374</v>
      </c>
      <c r="D23" s="404" t="s">
        <v>35</v>
      </c>
      <c r="E23" s="404"/>
      <c r="F23" s="405">
        <v>4160988.83</v>
      </c>
      <c r="G23" s="404"/>
      <c r="H23" s="405">
        <v>346749.08</v>
      </c>
      <c r="I23" s="405">
        <v>343614.09</v>
      </c>
      <c r="J23" s="405">
        <v>3134.9900000000489</v>
      </c>
      <c r="K23" s="404"/>
      <c r="L23" s="405">
        <v>2080494.48</v>
      </c>
      <c r="M23" s="405">
        <v>2083195.94</v>
      </c>
      <c r="N23" s="405">
        <v>-2701.4599999999627</v>
      </c>
      <c r="O23" s="407" t="s">
        <v>149</v>
      </c>
    </row>
    <row r="24" spans="2:15" s="401" customFormat="1" ht="18" customHeight="1">
      <c r="B24" s="404" t="s">
        <v>362</v>
      </c>
      <c r="C24" s="404" t="s">
        <v>374</v>
      </c>
      <c r="D24" s="404" t="s">
        <v>37</v>
      </c>
      <c r="E24" s="404"/>
      <c r="F24" s="405">
        <v>1746000</v>
      </c>
      <c r="G24" s="404"/>
      <c r="H24" s="405">
        <v>194004.02</v>
      </c>
      <c r="I24" s="405">
        <v>204975.95</v>
      </c>
      <c r="J24" s="405">
        <v>-10971.930000000022</v>
      </c>
      <c r="K24" s="404"/>
      <c r="L24" s="405">
        <v>582012.06000000006</v>
      </c>
      <c r="M24" s="405">
        <v>664018.59000000008</v>
      </c>
      <c r="N24" s="405">
        <v>-82006.530000000028</v>
      </c>
      <c r="O24" s="407" t="s">
        <v>149</v>
      </c>
    </row>
    <row r="25" spans="2:15" s="401" customFormat="1" ht="18" customHeight="1">
      <c r="B25" s="404" t="s">
        <v>362</v>
      </c>
      <c r="C25" s="404" t="s">
        <v>375</v>
      </c>
      <c r="D25" s="404" t="s">
        <v>376</v>
      </c>
      <c r="E25" s="404"/>
      <c r="F25" s="405">
        <v>270826532.22999996</v>
      </c>
      <c r="G25" s="404"/>
      <c r="H25" s="405">
        <v>21801806.949999999</v>
      </c>
      <c r="I25" s="405">
        <v>22260913.350000001</v>
      </c>
      <c r="J25" s="405">
        <v>-459106.40000000224</v>
      </c>
      <c r="K25" s="404"/>
      <c r="L25" s="405">
        <v>137740771.76999998</v>
      </c>
      <c r="M25" s="405">
        <v>140891293.49999997</v>
      </c>
      <c r="N25" s="405">
        <v>-3150521.7299999893</v>
      </c>
      <c r="O25" s="408" t="s">
        <v>12</v>
      </c>
    </row>
    <row r="26" spans="2:15" s="401" customFormat="1" ht="18" customHeight="1">
      <c r="B26" s="404" t="s">
        <v>362</v>
      </c>
      <c r="C26" s="404" t="s">
        <v>375</v>
      </c>
      <c r="D26" s="404" t="s">
        <v>377</v>
      </c>
      <c r="E26" s="404"/>
      <c r="F26" s="405">
        <v>1472049.84</v>
      </c>
      <c r="G26" s="404"/>
      <c r="H26" s="405">
        <v>42418.580000000009</v>
      </c>
      <c r="I26" s="405">
        <v>138721.28</v>
      </c>
      <c r="J26" s="405">
        <v>-96302.699999999983</v>
      </c>
      <c r="K26" s="404"/>
      <c r="L26" s="405">
        <v>736024.97999999986</v>
      </c>
      <c r="M26" s="405">
        <v>832327.37</v>
      </c>
      <c r="N26" s="405">
        <v>-96302.39000000013</v>
      </c>
      <c r="O26" s="407" t="s">
        <v>149</v>
      </c>
    </row>
    <row r="27" spans="2:15" s="401" customFormat="1" ht="18" customHeight="1">
      <c r="B27" s="404" t="s">
        <v>362</v>
      </c>
      <c r="C27" s="404" t="s">
        <v>375</v>
      </c>
      <c r="D27" s="404" t="s">
        <v>378</v>
      </c>
      <c r="E27" s="404"/>
      <c r="F27" s="405">
        <v>4138066.12</v>
      </c>
      <c r="G27" s="404"/>
      <c r="H27" s="405">
        <v>344838.84</v>
      </c>
      <c r="I27" s="405">
        <v>476923.02</v>
      </c>
      <c r="J27" s="405">
        <v>-132084.18</v>
      </c>
      <c r="K27" s="404"/>
      <c r="L27" s="405">
        <v>2069033.04</v>
      </c>
      <c r="M27" s="405">
        <v>2576092.15</v>
      </c>
      <c r="N27" s="405">
        <v>-507059.10999999987</v>
      </c>
      <c r="O27" s="408" t="s">
        <v>12</v>
      </c>
    </row>
    <row r="28" spans="2:15" s="401" customFormat="1" ht="18" customHeight="1">
      <c r="B28" s="404" t="s">
        <v>362</v>
      </c>
      <c r="C28" s="404" t="s">
        <v>375</v>
      </c>
      <c r="D28" s="404" t="s">
        <v>379</v>
      </c>
      <c r="E28" s="404"/>
      <c r="F28" s="405">
        <v>4744901.28</v>
      </c>
      <c r="G28" s="404"/>
      <c r="H28" s="405">
        <v>475660.69</v>
      </c>
      <c r="I28" s="405">
        <v>739035.23999999964</v>
      </c>
      <c r="J28" s="405">
        <v>-263374.54999999964</v>
      </c>
      <c r="K28" s="404"/>
      <c r="L28" s="405">
        <v>2372450.64</v>
      </c>
      <c r="M28" s="405">
        <v>2523813.6399999983</v>
      </c>
      <c r="N28" s="405">
        <v>-151362.99999999814</v>
      </c>
      <c r="O28" s="408" t="s">
        <v>12</v>
      </c>
    </row>
    <row r="29" spans="2:15" s="401" customFormat="1" ht="18" customHeight="1">
      <c r="B29" s="404" t="s">
        <v>362</v>
      </c>
      <c r="C29" s="404" t="s">
        <v>375</v>
      </c>
      <c r="D29" s="404" t="s">
        <v>380</v>
      </c>
      <c r="E29" s="404"/>
      <c r="F29" s="405">
        <v>12047970</v>
      </c>
      <c r="G29" s="404"/>
      <c r="H29" s="405">
        <v>966256.49000000022</v>
      </c>
      <c r="I29" s="405">
        <v>973759</v>
      </c>
      <c r="J29" s="405">
        <v>-7502.5099999997765</v>
      </c>
      <c r="K29" s="404"/>
      <c r="L29" s="405">
        <v>6023984.9399999995</v>
      </c>
      <c r="M29" s="405">
        <v>6031487</v>
      </c>
      <c r="N29" s="405">
        <v>-7502.0600000005215</v>
      </c>
      <c r="O29" s="407" t="s">
        <v>149</v>
      </c>
    </row>
    <row r="30" spans="2:15" s="401" customFormat="1" ht="18" customHeight="1">
      <c r="B30" s="404" t="s">
        <v>362</v>
      </c>
      <c r="C30" s="404" t="s">
        <v>381</v>
      </c>
      <c r="D30" s="404" t="s">
        <v>32</v>
      </c>
      <c r="E30" s="404"/>
      <c r="F30" s="405">
        <v>18247813.000000004</v>
      </c>
      <c r="G30" s="404"/>
      <c r="H30" s="405">
        <v>1777317.7300000002</v>
      </c>
      <c r="I30" s="405">
        <v>1521823.32</v>
      </c>
      <c r="J30" s="405">
        <v>255494.41000000015</v>
      </c>
      <c r="K30" s="404"/>
      <c r="L30" s="405">
        <v>9123906.3800000008</v>
      </c>
      <c r="M30" s="405">
        <v>8596770.8200000003</v>
      </c>
      <c r="N30" s="405">
        <v>527135.56000000052</v>
      </c>
      <c r="O30" s="406" t="s">
        <v>90</v>
      </c>
    </row>
    <row r="31" spans="2:15" s="401" customFormat="1" ht="18" customHeight="1">
      <c r="B31" s="404" t="s">
        <v>362</v>
      </c>
      <c r="C31" s="404" t="s">
        <v>381</v>
      </c>
      <c r="D31" s="404" t="s">
        <v>110</v>
      </c>
      <c r="E31" s="404"/>
      <c r="F31" s="405">
        <v>50112597.98999998</v>
      </c>
      <c r="G31" s="404"/>
      <c r="H31" s="405">
        <v>5215488.5899999989</v>
      </c>
      <c r="I31" s="405">
        <v>5198416.01</v>
      </c>
      <c r="J31" s="405">
        <v>17072.579999999143</v>
      </c>
      <c r="K31" s="404"/>
      <c r="L31" s="405">
        <v>25074125.490000002</v>
      </c>
      <c r="M31" s="405">
        <v>25050894.920000002</v>
      </c>
      <c r="N31" s="405">
        <v>23230.570000000298</v>
      </c>
      <c r="O31" s="406" t="s">
        <v>90</v>
      </c>
    </row>
    <row r="32" spans="2:15" s="401" customFormat="1" ht="18" customHeight="1">
      <c r="B32" s="404" t="s">
        <v>362</v>
      </c>
      <c r="C32" s="404" t="s">
        <v>381</v>
      </c>
      <c r="D32" s="404" t="s">
        <v>10</v>
      </c>
      <c r="E32" s="404"/>
      <c r="F32" s="405">
        <v>2419000</v>
      </c>
      <c r="G32" s="404"/>
      <c r="H32" s="405">
        <v>201583.33</v>
      </c>
      <c r="I32" s="405">
        <v>135010.23000000001</v>
      </c>
      <c r="J32" s="405">
        <v>66573.100000000006</v>
      </c>
      <c r="K32" s="404"/>
      <c r="L32" s="405">
        <v>1209499.98</v>
      </c>
      <c r="M32" s="405">
        <v>1126144.93</v>
      </c>
      <c r="N32" s="405">
        <v>83355.050000000047</v>
      </c>
      <c r="O32" s="406" t="s">
        <v>90</v>
      </c>
    </row>
    <row r="33" spans="2:15" s="401" customFormat="1" ht="18" customHeight="1">
      <c r="B33" s="404" t="s">
        <v>362</v>
      </c>
      <c r="C33" s="404" t="s">
        <v>381</v>
      </c>
      <c r="D33" s="404" t="s">
        <v>382</v>
      </c>
      <c r="E33" s="404"/>
      <c r="F33" s="405">
        <v>4366926.6900000004</v>
      </c>
      <c r="G33" s="404"/>
      <c r="H33" s="405">
        <v>365910.56</v>
      </c>
      <c r="I33" s="405">
        <v>343785.16</v>
      </c>
      <c r="J33" s="405">
        <v>22125.399999999965</v>
      </c>
      <c r="K33" s="404"/>
      <c r="L33" s="405">
        <v>2195463.36</v>
      </c>
      <c r="M33" s="405">
        <v>2146729.2799999998</v>
      </c>
      <c r="N33" s="405">
        <v>48734.080000000075</v>
      </c>
      <c r="O33" s="406" t="s">
        <v>90</v>
      </c>
    </row>
    <row r="34" spans="2:15" s="401" customFormat="1" ht="18" customHeight="1">
      <c r="B34" s="404" t="s">
        <v>362</v>
      </c>
      <c r="C34" s="404" t="s">
        <v>381</v>
      </c>
      <c r="D34" s="404" t="s">
        <v>31</v>
      </c>
      <c r="E34" s="404"/>
      <c r="F34" s="405">
        <v>56633723.670000002</v>
      </c>
      <c r="G34" s="404"/>
      <c r="H34" s="405">
        <v>4509587.5599999996</v>
      </c>
      <c r="I34" s="405">
        <v>4168378.94</v>
      </c>
      <c r="J34" s="405">
        <v>341208.61999999965</v>
      </c>
      <c r="K34" s="404"/>
      <c r="L34" s="405">
        <v>27401555.759999998</v>
      </c>
      <c r="M34" s="405">
        <v>27093016.300000001</v>
      </c>
      <c r="N34" s="405">
        <v>308539.45999999717</v>
      </c>
      <c r="O34" s="406" t="s">
        <v>90</v>
      </c>
    </row>
    <row r="35" spans="2:15" s="401" customFormat="1" ht="18" customHeight="1">
      <c r="B35" s="409" t="s">
        <v>362</v>
      </c>
      <c r="C35" s="409"/>
      <c r="D35" s="410"/>
      <c r="E35" s="410" t="s">
        <v>119</v>
      </c>
      <c r="F35" s="411">
        <v>-6066000.0000000447</v>
      </c>
      <c r="G35" s="409"/>
      <c r="H35" s="411">
        <v>-505499.83999999892</v>
      </c>
      <c r="I35" s="411">
        <v>-1067.429999995511</v>
      </c>
      <c r="J35" s="411">
        <v>-504432.40999999782</v>
      </c>
      <c r="K35" s="409"/>
      <c r="L35" s="411">
        <v>-3032999.999999892</v>
      </c>
      <c r="M35" s="411">
        <v>-2027.0500000528991</v>
      </c>
      <c r="N35" s="411">
        <v>-3030972.9499999527</v>
      </c>
      <c r="O35" s="409"/>
    </row>
    <row r="36" spans="2:15" s="401" customFormat="1" ht="18" customHeight="1">
      <c r="B36" s="412"/>
      <c r="C36" s="412"/>
      <c r="D36" s="412"/>
      <c r="E36" s="412"/>
      <c r="F36" s="412"/>
      <c r="G36" s="412"/>
      <c r="H36" s="412"/>
      <c r="I36" s="412"/>
      <c r="J36" s="412"/>
      <c r="K36" s="412"/>
      <c r="L36" s="412"/>
      <c r="M36" s="412"/>
      <c r="N36" s="412"/>
      <c r="O36" s="412"/>
    </row>
    <row r="37" spans="2:15" s="401" customFormat="1" ht="18" customHeight="1">
      <c r="B37" s="402" t="s">
        <v>358</v>
      </c>
      <c r="C37" s="542" t="s">
        <v>359</v>
      </c>
      <c r="D37" s="542"/>
      <c r="E37" s="542"/>
      <c r="F37" s="542"/>
      <c r="G37" s="542"/>
      <c r="H37" s="542"/>
      <c r="I37" s="542"/>
      <c r="J37" s="542"/>
      <c r="K37" s="542"/>
      <c r="L37" s="542"/>
      <c r="M37" s="542"/>
      <c r="N37" s="542"/>
      <c r="O37" s="542"/>
    </row>
    <row r="38" spans="2:15" s="401" customFormat="1" ht="18" customHeight="1">
      <c r="B38" s="402"/>
      <c r="C38" s="542" t="s">
        <v>360</v>
      </c>
      <c r="D38" s="542"/>
      <c r="E38" s="542"/>
      <c r="F38" s="542"/>
      <c r="G38" s="542"/>
      <c r="H38" s="542"/>
      <c r="I38" s="542"/>
      <c r="J38" s="542"/>
      <c r="K38" s="542"/>
      <c r="L38" s="542"/>
      <c r="M38" s="542"/>
      <c r="N38" s="542"/>
      <c r="O38" s="542"/>
    </row>
    <row r="39" spans="2:15" s="401" customFormat="1" ht="18" customHeight="1">
      <c r="B39" s="402"/>
      <c r="C39" s="542" t="s">
        <v>361</v>
      </c>
      <c r="D39" s="542"/>
      <c r="E39" s="542"/>
      <c r="F39" s="542"/>
      <c r="G39" s="542"/>
      <c r="H39" s="542"/>
      <c r="I39" s="542"/>
      <c r="J39" s="542"/>
      <c r="K39" s="542"/>
      <c r="L39" s="542"/>
      <c r="M39" s="542"/>
      <c r="N39" s="542"/>
      <c r="O39" s="542"/>
    </row>
    <row r="40" spans="2:15" s="401" customFormat="1" ht="18" customHeight="1">
      <c r="B40" s="403"/>
      <c r="C40" s="403" t="s">
        <v>112</v>
      </c>
      <c r="D40" s="403" t="s">
        <v>113</v>
      </c>
      <c r="E40" s="403"/>
      <c r="F40" s="403" t="s">
        <v>114</v>
      </c>
      <c r="G40" s="403"/>
      <c r="H40" s="403" t="s">
        <v>115</v>
      </c>
      <c r="I40" s="403" t="s">
        <v>116</v>
      </c>
      <c r="J40" s="403" t="s">
        <v>118</v>
      </c>
      <c r="K40" s="403"/>
      <c r="L40" s="403" t="s">
        <v>117</v>
      </c>
      <c r="M40" s="403" t="s">
        <v>109</v>
      </c>
      <c r="N40" s="403" t="s">
        <v>72</v>
      </c>
      <c r="O40" s="403" t="s">
        <v>157</v>
      </c>
    </row>
    <row r="41" spans="2:15" s="401" customFormat="1" ht="18" customHeight="1">
      <c r="B41" s="404" t="s">
        <v>383</v>
      </c>
      <c r="C41" s="404" t="s">
        <v>24</v>
      </c>
      <c r="D41" s="404" t="s">
        <v>24</v>
      </c>
      <c r="E41" s="404"/>
      <c r="F41" s="405">
        <v>-411495000</v>
      </c>
      <c r="G41" s="404"/>
      <c r="H41" s="405">
        <v>-36158015.399999999</v>
      </c>
      <c r="I41" s="405">
        <v>-36158015</v>
      </c>
      <c r="J41" s="405">
        <v>-0.39999999850988388</v>
      </c>
      <c r="K41" s="404"/>
      <c r="L41" s="405">
        <v>-208777554.5</v>
      </c>
      <c r="M41" s="405">
        <v>-208777553.84</v>
      </c>
      <c r="N41" s="405">
        <v>-0.65999999642372131</v>
      </c>
      <c r="O41" s="407" t="s">
        <v>149</v>
      </c>
    </row>
    <row r="42" spans="2:15" s="401" customFormat="1" ht="18" customHeight="1">
      <c r="B42" s="404" t="s">
        <v>383</v>
      </c>
      <c r="C42" s="404" t="s">
        <v>17</v>
      </c>
      <c r="D42" s="404" t="s">
        <v>17</v>
      </c>
      <c r="E42" s="404"/>
      <c r="F42" s="405">
        <v>2869790</v>
      </c>
      <c r="G42" s="404"/>
      <c r="H42" s="405">
        <v>323066</v>
      </c>
      <c r="I42" s="405">
        <v>0</v>
      </c>
      <c r="J42" s="405">
        <v>323066</v>
      </c>
      <c r="K42" s="404"/>
      <c r="L42" s="405">
        <v>1230895</v>
      </c>
      <c r="M42" s="405">
        <v>0</v>
      </c>
      <c r="N42" s="405">
        <v>1230895</v>
      </c>
      <c r="O42" s="406" t="s">
        <v>90</v>
      </c>
    </row>
    <row r="43" spans="2:15" s="401" customFormat="1" ht="18" customHeight="1">
      <c r="B43" s="404" t="s">
        <v>383</v>
      </c>
      <c r="C43" s="404" t="s">
        <v>365</v>
      </c>
      <c r="D43" s="404" t="s">
        <v>366</v>
      </c>
      <c r="E43" s="404"/>
      <c r="F43" s="405">
        <v>423625</v>
      </c>
      <c r="G43" s="404"/>
      <c r="H43" s="405">
        <v>35302</v>
      </c>
      <c r="I43" s="405">
        <v>39103.960000000006</v>
      </c>
      <c r="J43" s="405">
        <v>-3801.9600000000064</v>
      </c>
      <c r="K43" s="404"/>
      <c r="L43" s="405">
        <v>211811</v>
      </c>
      <c r="M43" s="405">
        <v>210241.86</v>
      </c>
      <c r="N43" s="405">
        <v>1569.140000000014</v>
      </c>
      <c r="O43" s="406" t="s">
        <v>90</v>
      </c>
    </row>
    <row r="44" spans="2:15" s="401" customFormat="1" ht="18" customHeight="1">
      <c r="B44" s="404" t="s">
        <v>383</v>
      </c>
      <c r="C44" s="404" t="s">
        <v>365</v>
      </c>
      <c r="D44" s="404" t="s">
        <v>39</v>
      </c>
      <c r="E44" s="404"/>
      <c r="F44" s="405">
        <v>3214314</v>
      </c>
      <c r="G44" s="404"/>
      <c r="H44" s="405">
        <v>222276</v>
      </c>
      <c r="I44" s="405">
        <v>139016.89000000001</v>
      </c>
      <c r="J44" s="405">
        <v>83259.109999999986</v>
      </c>
      <c r="K44" s="404"/>
      <c r="L44" s="405">
        <v>1333656</v>
      </c>
      <c r="M44" s="405">
        <v>1335989.9500000007</v>
      </c>
      <c r="N44" s="405">
        <v>-2333.9500000006519</v>
      </c>
      <c r="O44" s="407" t="s">
        <v>149</v>
      </c>
    </row>
    <row r="45" spans="2:15" s="401" customFormat="1" ht="18" customHeight="1">
      <c r="B45" s="404" t="s">
        <v>383</v>
      </c>
      <c r="C45" s="404" t="s">
        <v>365</v>
      </c>
      <c r="D45" s="404" t="s">
        <v>367</v>
      </c>
      <c r="E45" s="404"/>
      <c r="F45" s="405">
        <v>1743495</v>
      </c>
      <c r="G45" s="404"/>
      <c r="H45" s="405">
        <v>60292</v>
      </c>
      <c r="I45" s="405">
        <v>136681.78999999998</v>
      </c>
      <c r="J45" s="405">
        <v>-76389.789999999979</v>
      </c>
      <c r="K45" s="404"/>
      <c r="L45" s="405">
        <v>871752</v>
      </c>
      <c r="M45" s="405">
        <v>969221.45</v>
      </c>
      <c r="N45" s="405">
        <v>-97469.45000000007</v>
      </c>
      <c r="O45" s="407" t="s">
        <v>149</v>
      </c>
    </row>
    <row r="46" spans="2:15" s="401" customFormat="1" ht="18" customHeight="1">
      <c r="B46" s="404" t="s">
        <v>383</v>
      </c>
      <c r="C46" s="404" t="s">
        <v>365</v>
      </c>
      <c r="D46" s="404" t="s">
        <v>111</v>
      </c>
      <c r="E46" s="404"/>
      <c r="F46" s="405">
        <v>2449248</v>
      </c>
      <c r="G46" s="404"/>
      <c r="H46" s="405">
        <v>47859.4</v>
      </c>
      <c r="I46" s="405">
        <v>-117163.98000000004</v>
      </c>
      <c r="J46" s="405">
        <v>165023.38000000003</v>
      </c>
      <c r="K46" s="404"/>
      <c r="L46" s="405">
        <v>1129656.5</v>
      </c>
      <c r="M46" s="405">
        <v>983033.31999999983</v>
      </c>
      <c r="N46" s="405">
        <v>146623.18000000017</v>
      </c>
      <c r="O46" s="406" t="s">
        <v>90</v>
      </c>
    </row>
    <row r="47" spans="2:15" s="401" customFormat="1" ht="18" customHeight="1">
      <c r="B47" s="404" t="s">
        <v>383</v>
      </c>
      <c r="C47" s="404" t="s">
        <v>365</v>
      </c>
      <c r="D47" s="404" t="s">
        <v>368</v>
      </c>
      <c r="E47" s="404"/>
      <c r="F47" s="405">
        <v>837367</v>
      </c>
      <c r="G47" s="404"/>
      <c r="H47" s="405">
        <v>68110</v>
      </c>
      <c r="I47" s="405">
        <v>52815.360000000022</v>
      </c>
      <c r="J47" s="405">
        <v>15294.639999999978</v>
      </c>
      <c r="K47" s="404"/>
      <c r="L47" s="405">
        <v>408660</v>
      </c>
      <c r="M47" s="405">
        <v>392754.53</v>
      </c>
      <c r="N47" s="405">
        <v>15905.47000000003</v>
      </c>
      <c r="O47" s="406" t="s">
        <v>90</v>
      </c>
    </row>
    <row r="48" spans="2:15" s="401" customFormat="1" ht="18" customHeight="1">
      <c r="B48" s="404" t="s">
        <v>383</v>
      </c>
      <c r="C48" s="404" t="s">
        <v>365</v>
      </c>
      <c r="D48" s="404" t="s">
        <v>369</v>
      </c>
      <c r="E48" s="404"/>
      <c r="F48" s="405">
        <v>857000</v>
      </c>
      <c r="G48" s="404"/>
      <c r="H48" s="405">
        <v>211834</v>
      </c>
      <c r="I48" s="405">
        <v>322191.22000000003</v>
      </c>
      <c r="J48" s="405">
        <v>-110357.22000000003</v>
      </c>
      <c r="K48" s="404"/>
      <c r="L48" s="405">
        <v>428504</v>
      </c>
      <c r="M48" s="405">
        <v>556530.05000000005</v>
      </c>
      <c r="N48" s="405">
        <v>-128026.05000000005</v>
      </c>
      <c r="O48" s="408" t="s">
        <v>12</v>
      </c>
    </row>
    <row r="49" spans="2:15" s="401" customFormat="1" ht="18" customHeight="1">
      <c r="B49" s="404" t="s">
        <v>383</v>
      </c>
      <c r="C49" s="404" t="s">
        <v>365</v>
      </c>
      <c r="D49" s="404" t="s">
        <v>370</v>
      </c>
      <c r="E49" s="404"/>
      <c r="F49" s="405">
        <v>0</v>
      </c>
      <c r="G49" s="404"/>
      <c r="H49" s="405">
        <v>0</v>
      </c>
      <c r="I49" s="405">
        <v>-23743.030000000002</v>
      </c>
      <c r="J49" s="405">
        <v>23743.030000000002</v>
      </c>
      <c r="K49" s="404"/>
      <c r="L49" s="405">
        <v>208000</v>
      </c>
      <c r="M49" s="405">
        <v>216267.93999999994</v>
      </c>
      <c r="N49" s="405">
        <v>-8267.9399999999441</v>
      </c>
      <c r="O49" s="407" t="s">
        <v>149</v>
      </c>
    </row>
    <row r="50" spans="2:15" s="401" customFormat="1" ht="18" customHeight="1">
      <c r="B50" s="404" t="s">
        <v>383</v>
      </c>
      <c r="C50" s="404" t="s">
        <v>371</v>
      </c>
      <c r="D50" s="404" t="s">
        <v>372</v>
      </c>
      <c r="E50" s="404"/>
      <c r="F50" s="405">
        <v>836749</v>
      </c>
      <c r="G50" s="404"/>
      <c r="H50" s="405">
        <v>69730</v>
      </c>
      <c r="I50" s="405">
        <v>58943.509999999987</v>
      </c>
      <c r="J50" s="405">
        <v>10786.490000000013</v>
      </c>
      <c r="K50" s="404"/>
      <c r="L50" s="405">
        <v>418380</v>
      </c>
      <c r="M50" s="405">
        <v>358923.46000000008</v>
      </c>
      <c r="N50" s="405">
        <v>59456.539999999921</v>
      </c>
      <c r="O50" s="406" t="s">
        <v>90</v>
      </c>
    </row>
    <row r="51" spans="2:15" s="401" customFormat="1" ht="18" customHeight="1">
      <c r="B51" s="404" t="s">
        <v>383</v>
      </c>
      <c r="C51" s="404" t="s">
        <v>371</v>
      </c>
      <c r="D51" s="404" t="s">
        <v>373</v>
      </c>
      <c r="E51" s="404"/>
      <c r="F51" s="405">
        <v>8338424</v>
      </c>
      <c r="G51" s="404"/>
      <c r="H51" s="405">
        <v>670759</v>
      </c>
      <c r="I51" s="405">
        <v>700761.27999999991</v>
      </c>
      <c r="J51" s="405">
        <v>-30002.279999999912</v>
      </c>
      <c r="K51" s="404"/>
      <c r="L51" s="405">
        <v>3987234</v>
      </c>
      <c r="M51" s="405">
        <v>3972929.9099999997</v>
      </c>
      <c r="N51" s="405">
        <v>14304.090000000317</v>
      </c>
      <c r="O51" s="406" t="s">
        <v>90</v>
      </c>
    </row>
    <row r="52" spans="2:15" s="401" customFormat="1" ht="18" customHeight="1">
      <c r="B52" s="404" t="s">
        <v>383</v>
      </c>
      <c r="C52" s="404" t="s">
        <v>374</v>
      </c>
      <c r="D52" s="404" t="s">
        <v>36</v>
      </c>
      <c r="E52" s="404"/>
      <c r="F52" s="405">
        <v>2449517</v>
      </c>
      <c r="G52" s="404"/>
      <c r="H52" s="405">
        <v>204128</v>
      </c>
      <c r="I52" s="405">
        <v>245703.24000000002</v>
      </c>
      <c r="J52" s="405">
        <v>-41575.24000000002</v>
      </c>
      <c r="K52" s="404"/>
      <c r="L52" s="405">
        <v>1224768</v>
      </c>
      <c r="M52" s="405">
        <v>1641055.36</v>
      </c>
      <c r="N52" s="405">
        <v>-416287.3600000001</v>
      </c>
      <c r="O52" s="408" t="s">
        <v>12</v>
      </c>
    </row>
    <row r="53" spans="2:15" s="401" customFormat="1" ht="18" customHeight="1">
      <c r="B53" s="404" t="s">
        <v>383</v>
      </c>
      <c r="C53" s="404" t="s">
        <v>374</v>
      </c>
      <c r="D53" s="404" t="s">
        <v>89</v>
      </c>
      <c r="E53" s="404"/>
      <c r="F53" s="405">
        <v>33312135</v>
      </c>
      <c r="G53" s="404"/>
      <c r="H53" s="405">
        <v>2767010</v>
      </c>
      <c r="I53" s="405">
        <v>2716349.13</v>
      </c>
      <c r="J53" s="405">
        <v>50660.870000000112</v>
      </c>
      <c r="K53" s="404"/>
      <c r="L53" s="405">
        <v>16602060</v>
      </c>
      <c r="M53" s="405">
        <v>16657855.879999997</v>
      </c>
      <c r="N53" s="405">
        <v>-55795.879999997094</v>
      </c>
      <c r="O53" s="407" t="s">
        <v>149</v>
      </c>
    </row>
    <row r="54" spans="2:15" s="401" customFormat="1" ht="18" customHeight="1">
      <c r="B54" s="404" t="s">
        <v>383</v>
      </c>
      <c r="C54" s="404" t="s">
        <v>374</v>
      </c>
      <c r="D54" s="404" t="s">
        <v>34</v>
      </c>
      <c r="E54" s="404"/>
      <c r="F54" s="405">
        <v>4645495</v>
      </c>
      <c r="G54" s="404"/>
      <c r="H54" s="405">
        <v>366326</v>
      </c>
      <c r="I54" s="405">
        <v>366300</v>
      </c>
      <c r="J54" s="405">
        <v>26</v>
      </c>
      <c r="K54" s="404"/>
      <c r="L54" s="405">
        <v>2197956</v>
      </c>
      <c r="M54" s="405">
        <v>2197800</v>
      </c>
      <c r="N54" s="405">
        <v>156</v>
      </c>
      <c r="O54" s="406" t="s">
        <v>90</v>
      </c>
    </row>
    <row r="55" spans="2:15" s="401" customFormat="1" ht="18" customHeight="1">
      <c r="B55" s="404" t="s">
        <v>383</v>
      </c>
      <c r="C55" s="404" t="s">
        <v>374</v>
      </c>
      <c r="D55" s="404" t="s">
        <v>30</v>
      </c>
      <c r="E55" s="404"/>
      <c r="F55" s="405">
        <v>27027071</v>
      </c>
      <c r="G55" s="404"/>
      <c r="H55" s="405">
        <v>2248338</v>
      </c>
      <c r="I55" s="405">
        <v>2430568.4300000006</v>
      </c>
      <c r="J55" s="405">
        <v>-182230.43000000063</v>
      </c>
      <c r="K55" s="404"/>
      <c r="L55" s="405">
        <v>13490028</v>
      </c>
      <c r="M55" s="405">
        <v>14163799.470000001</v>
      </c>
      <c r="N55" s="405">
        <v>-673771.47000000067</v>
      </c>
      <c r="O55" s="408" t="s">
        <v>12</v>
      </c>
    </row>
    <row r="56" spans="2:15" s="401" customFormat="1" ht="18" customHeight="1">
      <c r="B56" s="404" t="s">
        <v>383</v>
      </c>
      <c r="C56" s="404" t="s">
        <v>374</v>
      </c>
      <c r="D56" s="404" t="s">
        <v>33</v>
      </c>
      <c r="E56" s="404"/>
      <c r="F56" s="405">
        <v>9518380</v>
      </c>
      <c r="G56" s="404"/>
      <c r="H56" s="405">
        <v>789698</v>
      </c>
      <c r="I56" s="405">
        <v>854090.0900000002</v>
      </c>
      <c r="J56" s="405">
        <v>-64392.0900000002</v>
      </c>
      <c r="K56" s="404"/>
      <c r="L56" s="405">
        <v>4738188</v>
      </c>
      <c r="M56" s="405">
        <v>4159940.59</v>
      </c>
      <c r="N56" s="405">
        <v>578247.41000000015</v>
      </c>
      <c r="O56" s="406" t="s">
        <v>90</v>
      </c>
    </row>
    <row r="57" spans="2:15" s="401" customFormat="1" ht="18" customHeight="1">
      <c r="B57" s="404" t="s">
        <v>383</v>
      </c>
      <c r="C57" s="404" t="s">
        <v>374</v>
      </c>
      <c r="D57" s="404" t="s">
        <v>35</v>
      </c>
      <c r="E57" s="404"/>
      <c r="F57" s="405">
        <v>2999963</v>
      </c>
      <c r="G57" s="404"/>
      <c r="H57" s="405">
        <v>249998</v>
      </c>
      <c r="I57" s="405">
        <v>252882.83</v>
      </c>
      <c r="J57" s="405">
        <v>-2884.8299999999872</v>
      </c>
      <c r="K57" s="404"/>
      <c r="L57" s="405">
        <v>1499988</v>
      </c>
      <c r="M57" s="405">
        <v>1452107.24</v>
      </c>
      <c r="N57" s="405">
        <v>47880.760000000009</v>
      </c>
      <c r="O57" s="406" t="s">
        <v>90</v>
      </c>
    </row>
    <row r="58" spans="2:15" s="401" customFormat="1" ht="18" customHeight="1">
      <c r="B58" s="404" t="s">
        <v>383</v>
      </c>
      <c r="C58" s="404" t="s">
        <v>374</v>
      </c>
      <c r="D58" s="404" t="s">
        <v>37</v>
      </c>
      <c r="E58" s="404"/>
      <c r="F58" s="405">
        <v>1863013</v>
      </c>
      <c r="G58" s="404"/>
      <c r="H58" s="405">
        <v>155251</v>
      </c>
      <c r="I58" s="405">
        <v>147768.92000000001</v>
      </c>
      <c r="J58" s="405">
        <v>7482.0799999999872</v>
      </c>
      <c r="K58" s="404"/>
      <c r="L58" s="405">
        <v>931506</v>
      </c>
      <c r="M58" s="405">
        <v>880400.17</v>
      </c>
      <c r="N58" s="405">
        <v>51105.829999999958</v>
      </c>
      <c r="O58" s="406" t="s">
        <v>90</v>
      </c>
    </row>
    <row r="59" spans="2:15" s="401" customFormat="1" ht="18" customHeight="1">
      <c r="B59" s="404" t="s">
        <v>383</v>
      </c>
      <c r="C59" s="404" t="s">
        <v>375</v>
      </c>
      <c r="D59" s="404" t="s">
        <v>376</v>
      </c>
      <c r="E59" s="404"/>
      <c r="F59" s="405">
        <v>201152525</v>
      </c>
      <c r="G59" s="404"/>
      <c r="H59" s="405">
        <v>18924176</v>
      </c>
      <c r="I59" s="405">
        <v>19203508.379999995</v>
      </c>
      <c r="J59" s="405">
        <v>-279332.37999999523</v>
      </c>
      <c r="K59" s="404"/>
      <c r="L59" s="405">
        <v>104874016</v>
      </c>
      <c r="M59" s="405">
        <v>105691133.47</v>
      </c>
      <c r="N59" s="405">
        <v>-817117.46999999881</v>
      </c>
      <c r="O59" s="408" t="s">
        <v>12</v>
      </c>
    </row>
    <row r="60" spans="2:15" s="401" customFormat="1" ht="18" customHeight="1">
      <c r="B60" s="404" t="s">
        <v>383</v>
      </c>
      <c r="C60" s="404" t="s">
        <v>375</v>
      </c>
      <c r="D60" s="404" t="s">
        <v>377</v>
      </c>
      <c r="E60" s="404"/>
      <c r="F60" s="405">
        <v>652794</v>
      </c>
      <c r="G60" s="404"/>
      <c r="H60" s="405">
        <v>54402</v>
      </c>
      <c r="I60" s="405">
        <v>54400.180000000008</v>
      </c>
      <c r="J60" s="405">
        <v>1.819999999992433</v>
      </c>
      <c r="K60" s="404"/>
      <c r="L60" s="405">
        <v>326400</v>
      </c>
      <c r="M60" s="405">
        <v>326397.91000000003</v>
      </c>
      <c r="N60" s="405">
        <v>2.0899999999674037</v>
      </c>
      <c r="O60" s="406" t="s">
        <v>90</v>
      </c>
    </row>
    <row r="61" spans="2:15" s="401" customFormat="1" ht="18" customHeight="1">
      <c r="B61" s="404" t="s">
        <v>383</v>
      </c>
      <c r="C61" s="404" t="s">
        <v>375</v>
      </c>
      <c r="D61" s="404" t="s">
        <v>378</v>
      </c>
      <c r="E61" s="404"/>
      <c r="F61" s="405">
        <v>6698732</v>
      </c>
      <c r="G61" s="404"/>
      <c r="H61" s="405">
        <v>558229</v>
      </c>
      <c r="I61" s="405">
        <v>353581.15</v>
      </c>
      <c r="J61" s="405">
        <v>204647.84999999998</v>
      </c>
      <c r="K61" s="404"/>
      <c r="L61" s="405">
        <v>3349368</v>
      </c>
      <c r="M61" s="405">
        <v>3269720.4000000004</v>
      </c>
      <c r="N61" s="405">
        <v>79647.599999999627</v>
      </c>
      <c r="O61" s="406" t="s">
        <v>90</v>
      </c>
    </row>
    <row r="62" spans="2:15" s="401" customFormat="1" ht="18" customHeight="1">
      <c r="B62" s="404" t="s">
        <v>383</v>
      </c>
      <c r="C62" s="404" t="s">
        <v>375</v>
      </c>
      <c r="D62" s="404" t="s">
        <v>379</v>
      </c>
      <c r="E62" s="404"/>
      <c r="F62" s="405">
        <v>3464341</v>
      </c>
      <c r="G62" s="404"/>
      <c r="H62" s="405">
        <v>288689</v>
      </c>
      <c r="I62" s="405">
        <v>516565.71000000008</v>
      </c>
      <c r="J62" s="405">
        <v>-227876.71000000008</v>
      </c>
      <c r="K62" s="404"/>
      <c r="L62" s="405">
        <v>1732164</v>
      </c>
      <c r="M62" s="405">
        <v>2222540.359999998</v>
      </c>
      <c r="N62" s="405">
        <v>-490376.35999999801</v>
      </c>
      <c r="O62" s="408" t="s">
        <v>12</v>
      </c>
    </row>
    <row r="63" spans="2:15" s="401" customFormat="1" ht="18" customHeight="1">
      <c r="B63" s="404" t="s">
        <v>383</v>
      </c>
      <c r="C63" s="404" t="s">
        <v>375</v>
      </c>
      <c r="D63" s="404" t="s">
        <v>380</v>
      </c>
      <c r="E63" s="404"/>
      <c r="F63" s="405">
        <v>7935163</v>
      </c>
      <c r="G63" s="404"/>
      <c r="H63" s="405">
        <v>661272</v>
      </c>
      <c r="I63" s="405">
        <v>767989.01</v>
      </c>
      <c r="J63" s="405">
        <v>-106717.01</v>
      </c>
      <c r="K63" s="404"/>
      <c r="L63" s="405">
        <v>3967591</v>
      </c>
      <c r="M63" s="405">
        <v>4074308.04</v>
      </c>
      <c r="N63" s="405">
        <v>-106717.04000000004</v>
      </c>
      <c r="O63" s="408" t="s">
        <v>12</v>
      </c>
    </row>
    <row r="64" spans="2:15" s="401" customFormat="1" ht="18" customHeight="1">
      <c r="B64" s="404" t="s">
        <v>383</v>
      </c>
      <c r="C64" s="404" t="s">
        <v>381</v>
      </c>
      <c r="D64" s="404" t="s">
        <v>32</v>
      </c>
      <c r="E64" s="404"/>
      <c r="F64" s="405">
        <v>9335000</v>
      </c>
      <c r="G64" s="404"/>
      <c r="H64" s="405">
        <v>776085</v>
      </c>
      <c r="I64" s="405">
        <v>719712.05</v>
      </c>
      <c r="J64" s="405">
        <v>56372.949999999953</v>
      </c>
      <c r="K64" s="404"/>
      <c r="L64" s="405">
        <v>4651507</v>
      </c>
      <c r="M64" s="405">
        <v>4462802.0500000007</v>
      </c>
      <c r="N64" s="405">
        <v>188704.94999999925</v>
      </c>
      <c r="O64" s="406" t="s">
        <v>90</v>
      </c>
    </row>
    <row r="65" spans="2:15" s="401" customFormat="1" ht="18" customHeight="1">
      <c r="B65" s="404" t="s">
        <v>383</v>
      </c>
      <c r="C65" s="404" t="s">
        <v>381</v>
      </c>
      <c r="D65" s="404" t="s">
        <v>110</v>
      </c>
      <c r="E65" s="404"/>
      <c r="F65" s="405">
        <v>34202275</v>
      </c>
      <c r="G65" s="404"/>
      <c r="H65" s="405">
        <v>2701459</v>
      </c>
      <c r="I65" s="405">
        <v>2569885.0099999998</v>
      </c>
      <c r="J65" s="405">
        <v>131573.99000000022</v>
      </c>
      <c r="K65" s="404"/>
      <c r="L65" s="405">
        <v>16803790</v>
      </c>
      <c r="M65" s="405">
        <v>16555307.270000013</v>
      </c>
      <c r="N65" s="405">
        <v>248482.72999998741</v>
      </c>
      <c r="O65" s="406" t="s">
        <v>90</v>
      </c>
    </row>
    <row r="66" spans="2:15" s="401" customFormat="1" ht="18" customHeight="1">
      <c r="B66" s="404" t="s">
        <v>383</v>
      </c>
      <c r="C66" s="404" t="s">
        <v>381</v>
      </c>
      <c r="D66" s="404" t="s">
        <v>10</v>
      </c>
      <c r="E66" s="404"/>
      <c r="F66" s="405">
        <v>2317000</v>
      </c>
      <c r="G66" s="404"/>
      <c r="H66" s="405">
        <v>193083</v>
      </c>
      <c r="I66" s="405">
        <v>113378.14</v>
      </c>
      <c r="J66" s="405">
        <v>79704.86</v>
      </c>
      <c r="K66" s="404"/>
      <c r="L66" s="405">
        <v>1158498</v>
      </c>
      <c r="M66" s="405">
        <v>1154420.8</v>
      </c>
      <c r="N66" s="405">
        <v>4077.1999999999534</v>
      </c>
      <c r="O66" s="406" t="s">
        <v>90</v>
      </c>
    </row>
    <row r="67" spans="2:15" s="401" customFormat="1" ht="18" customHeight="1">
      <c r="B67" s="404" t="s">
        <v>383</v>
      </c>
      <c r="C67" s="404" t="s">
        <v>381</v>
      </c>
      <c r="D67" s="404" t="s">
        <v>31</v>
      </c>
      <c r="E67" s="404"/>
      <c r="F67" s="405">
        <v>42351584</v>
      </c>
      <c r="G67" s="404"/>
      <c r="H67" s="405">
        <v>3510643</v>
      </c>
      <c r="I67" s="405">
        <v>3536636.2999999984</v>
      </c>
      <c r="J67" s="405">
        <v>-25993.299999998417</v>
      </c>
      <c r="K67" s="404"/>
      <c r="L67" s="405">
        <v>21001178</v>
      </c>
      <c r="M67" s="405">
        <v>20872056.760000005</v>
      </c>
      <c r="N67" s="405">
        <v>129121.23999999464</v>
      </c>
      <c r="O67" s="406" t="s">
        <v>90</v>
      </c>
    </row>
    <row r="68" spans="2:15" s="401" customFormat="1" ht="18" customHeight="1">
      <c r="B68" s="409" t="s">
        <v>383</v>
      </c>
      <c r="C68" s="409"/>
      <c r="D68" s="410"/>
      <c r="E68" s="410" t="s">
        <v>119</v>
      </c>
      <c r="F68" s="411">
        <v>0</v>
      </c>
      <c r="G68" s="409"/>
      <c r="H68" s="411">
        <v>0</v>
      </c>
      <c r="I68" s="411">
        <v>-89.430000006221235</v>
      </c>
      <c r="J68" s="411">
        <v>89.430000007225317</v>
      </c>
      <c r="K68" s="409"/>
      <c r="L68" s="411">
        <v>0</v>
      </c>
      <c r="M68" s="411">
        <v>-15.599999990314245</v>
      </c>
      <c r="N68" s="411">
        <v>15.599999989615753</v>
      </c>
      <c r="O68" s="409"/>
    </row>
    <row r="69" spans="2:15" s="401" customFormat="1" ht="18" customHeight="1">
      <c r="B69" s="412"/>
      <c r="C69" s="412"/>
      <c r="D69" s="412"/>
      <c r="E69" s="412"/>
      <c r="F69" s="412"/>
      <c r="G69" s="412"/>
      <c r="H69" s="412"/>
      <c r="I69" s="412"/>
      <c r="J69" s="412"/>
      <c r="K69" s="412"/>
      <c r="L69" s="412"/>
      <c r="M69" s="412"/>
      <c r="N69" s="412"/>
      <c r="O69" s="412"/>
    </row>
    <row r="70" spans="2:15" s="401" customFormat="1" ht="18" customHeight="1">
      <c r="B70" s="402" t="s">
        <v>358</v>
      </c>
      <c r="C70" s="542" t="s">
        <v>359</v>
      </c>
      <c r="D70" s="542"/>
      <c r="E70" s="542"/>
      <c r="F70" s="542"/>
      <c r="G70" s="542"/>
      <c r="H70" s="542"/>
      <c r="I70" s="542"/>
      <c r="J70" s="542"/>
      <c r="K70" s="542"/>
      <c r="L70" s="542"/>
      <c r="M70" s="542"/>
      <c r="N70" s="542"/>
      <c r="O70" s="542"/>
    </row>
    <row r="71" spans="2:15" s="401" customFormat="1" ht="18" customHeight="1">
      <c r="B71" s="402"/>
      <c r="C71" s="542" t="s">
        <v>360</v>
      </c>
      <c r="D71" s="542"/>
      <c r="E71" s="542"/>
      <c r="F71" s="542"/>
      <c r="G71" s="542"/>
      <c r="H71" s="542"/>
      <c r="I71" s="542"/>
      <c r="J71" s="542"/>
      <c r="K71" s="542"/>
      <c r="L71" s="542"/>
      <c r="M71" s="542"/>
      <c r="N71" s="542"/>
      <c r="O71" s="542"/>
    </row>
    <row r="72" spans="2:15" s="401" customFormat="1" ht="18" customHeight="1">
      <c r="B72" s="402"/>
      <c r="C72" s="542" t="s">
        <v>361</v>
      </c>
      <c r="D72" s="542"/>
      <c r="E72" s="542"/>
      <c r="F72" s="542"/>
      <c r="G72" s="542"/>
      <c r="H72" s="542"/>
      <c r="I72" s="542"/>
      <c r="J72" s="542"/>
      <c r="K72" s="542"/>
      <c r="L72" s="542"/>
      <c r="M72" s="542"/>
      <c r="N72" s="542"/>
      <c r="O72" s="542"/>
    </row>
    <row r="73" spans="2:15" s="401" customFormat="1" ht="18" customHeight="1">
      <c r="B73" s="403"/>
      <c r="C73" s="403" t="s">
        <v>112</v>
      </c>
      <c r="D73" s="403" t="s">
        <v>113</v>
      </c>
      <c r="E73" s="403"/>
      <c r="F73" s="403" t="s">
        <v>114</v>
      </c>
      <c r="G73" s="403"/>
      <c r="H73" s="403" t="s">
        <v>115</v>
      </c>
      <c r="I73" s="403" t="s">
        <v>116</v>
      </c>
      <c r="J73" s="403" t="s">
        <v>118</v>
      </c>
      <c r="K73" s="403"/>
      <c r="L73" s="403" t="s">
        <v>117</v>
      </c>
      <c r="M73" s="403" t="s">
        <v>109</v>
      </c>
      <c r="N73" s="403" t="s">
        <v>72</v>
      </c>
      <c r="O73" s="403" t="s">
        <v>157</v>
      </c>
    </row>
    <row r="74" spans="2:15" s="401" customFormat="1" ht="18" customHeight="1">
      <c r="B74" s="404" t="s">
        <v>384</v>
      </c>
      <c r="C74" s="404" t="s">
        <v>24</v>
      </c>
      <c r="D74" s="404" t="s">
        <v>24</v>
      </c>
      <c r="E74" s="404"/>
      <c r="F74" s="405">
        <v>-404583583.29000002</v>
      </c>
      <c r="G74" s="404"/>
      <c r="H74" s="405">
        <v>-36951895.520000003</v>
      </c>
      <c r="I74" s="405">
        <v>-36951896</v>
      </c>
      <c r="J74" s="405">
        <v>0.47999999672174454</v>
      </c>
      <c r="K74" s="404"/>
      <c r="L74" s="405">
        <v>-207013030.53999999</v>
      </c>
      <c r="M74" s="405">
        <v>-207013031</v>
      </c>
      <c r="N74" s="405">
        <v>0.46000000834465027</v>
      </c>
      <c r="O74" s="406" t="s">
        <v>90</v>
      </c>
    </row>
    <row r="75" spans="2:15" s="401" customFormat="1" ht="18" customHeight="1">
      <c r="B75" s="404" t="s">
        <v>384</v>
      </c>
      <c r="C75" s="404" t="s">
        <v>17</v>
      </c>
      <c r="D75" s="404" t="s">
        <v>17</v>
      </c>
      <c r="E75" s="404"/>
      <c r="F75" s="405">
        <v>5936000</v>
      </c>
      <c r="G75" s="404"/>
      <c r="H75" s="405">
        <v>434670</v>
      </c>
      <c r="I75" s="405">
        <v>0</v>
      </c>
      <c r="J75" s="405">
        <v>434670</v>
      </c>
      <c r="K75" s="404"/>
      <c r="L75" s="405">
        <v>1268000</v>
      </c>
      <c r="M75" s="405">
        <v>0</v>
      </c>
      <c r="N75" s="405">
        <v>1268000</v>
      </c>
      <c r="O75" s="406" t="s">
        <v>90</v>
      </c>
    </row>
    <row r="76" spans="2:15" s="401" customFormat="1" ht="18" customHeight="1">
      <c r="B76" s="404" t="s">
        <v>384</v>
      </c>
      <c r="C76" s="404" t="s">
        <v>365</v>
      </c>
      <c r="D76" s="404" t="s">
        <v>366</v>
      </c>
      <c r="E76" s="404"/>
      <c r="F76" s="405">
        <v>407766</v>
      </c>
      <c r="G76" s="404"/>
      <c r="H76" s="405">
        <v>33981</v>
      </c>
      <c r="I76" s="405">
        <v>38204.49</v>
      </c>
      <c r="J76" s="405">
        <v>-4223.489999999998</v>
      </c>
      <c r="K76" s="404"/>
      <c r="L76" s="405">
        <v>203884</v>
      </c>
      <c r="M76" s="405">
        <v>202678.62</v>
      </c>
      <c r="N76" s="405">
        <v>1205.3800000000047</v>
      </c>
      <c r="O76" s="406" t="s">
        <v>90</v>
      </c>
    </row>
    <row r="77" spans="2:15" s="401" customFormat="1" ht="18" customHeight="1">
      <c r="B77" s="404" t="s">
        <v>384</v>
      </c>
      <c r="C77" s="404" t="s">
        <v>365</v>
      </c>
      <c r="D77" s="404" t="s">
        <v>39</v>
      </c>
      <c r="E77" s="404"/>
      <c r="F77" s="405">
        <v>2963759</v>
      </c>
      <c r="G77" s="404"/>
      <c r="H77" s="405">
        <v>193015.08</v>
      </c>
      <c r="I77" s="405">
        <v>199875.90000000008</v>
      </c>
      <c r="J77" s="405">
        <v>-6860.8200000000652</v>
      </c>
      <c r="K77" s="404"/>
      <c r="L77" s="405">
        <v>1158086.5</v>
      </c>
      <c r="M77" s="405">
        <v>1164922.8400000001</v>
      </c>
      <c r="N77" s="405">
        <v>-6836.3400000000838</v>
      </c>
      <c r="O77" s="407" t="s">
        <v>149</v>
      </c>
    </row>
    <row r="78" spans="2:15" s="401" customFormat="1" ht="18" customHeight="1">
      <c r="B78" s="404" t="s">
        <v>384</v>
      </c>
      <c r="C78" s="404" t="s">
        <v>365</v>
      </c>
      <c r="D78" s="404" t="s">
        <v>367</v>
      </c>
      <c r="E78" s="404"/>
      <c r="F78" s="405">
        <v>2016220</v>
      </c>
      <c r="G78" s="404"/>
      <c r="H78" s="405">
        <v>106850.08000000002</v>
      </c>
      <c r="I78" s="405">
        <v>134428.63</v>
      </c>
      <c r="J78" s="405">
        <v>-27578.549999999988</v>
      </c>
      <c r="K78" s="404"/>
      <c r="L78" s="405">
        <v>1008109</v>
      </c>
      <c r="M78" s="405">
        <v>1035600.17</v>
      </c>
      <c r="N78" s="405">
        <v>-27491.170000000042</v>
      </c>
      <c r="O78" s="407" t="s">
        <v>149</v>
      </c>
    </row>
    <row r="79" spans="2:15" s="401" customFormat="1" ht="18" customHeight="1">
      <c r="B79" s="404" t="s">
        <v>384</v>
      </c>
      <c r="C79" s="404" t="s">
        <v>365</v>
      </c>
      <c r="D79" s="404" t="s">
        <v>111</v>
      </c>
      <c r="E79" s="404"/>
      <c r="F79" s="405">
        <v>6067334</v>
      </c>
      <c r="G79" s="404"/>
      <c r="H79" s="405">
        <v>-5638.7999999999302</v>
      </c>
      <c r="I79" s="405">
        <v>586787.88999999943</v>
      </c>
      <c r="J79" s="405">
        <v>-592426.68999999936</v>
      </c>
      <c r="K79" s="404"/>
      <c r="L79" s="405">
        <v>3033667</v>
      </c>
      <c r="M79" s="405">
        <v>3625861.5100000012</v>
      </c>
      <c r="N79" s="405">
        <v>-592194.51000000117</v>
      </c>
      <c r="O79" s="408" t="s">
        <v>12</v>
      </c>
    </row>
    <row r="80" spans="2:15" s="401" customFormat="1" ht="18" customHeight="1">
      <c r="B80" s="404" t="s">
        <v>384</v>
      </c>
      <c r="C80" s="404" t="s">
        <v>365</v>
      </c>
      <c r="D80" s="404" t="s">
        <v>368</v>
      </c>
      <c r="E80" s="404"/>
      <c r="F80" s="405">
        <v>1184730</v>
      </c>
      <c r="G80" s="404"/>
      <c r="H80" s="405">
        <v>-501906.61</v>
      </c>
      <c r="I80" s="405">
        <v>-524749.23</v>
      </c>
      <c r="J80" s="405">
        <v>22842.619999999995</v>
      </c>
      <c r="K80" s="404"/>
      <c r="L80" s="405">
        <v>592364</v>
      </c>
      <c r="M80" s="405">
        <v>569502.21</v>
      </c>
      <c r="N80" s="405">
        <v>22861.790000000037</v>
      </c>
      <c r="O80" s="406" t="s">
        <v>90</v>
      </c>
    </row>
    <row r="81" spans="2:15" s="401" customFormat="1" ht="18" customHeight="1">
      <c r="B81" s="404" t="s">
        <v>384</v>
      </c>
      <c r="C81" s="404" t="s">
        <v>365</v>
      </c>
      <c r="D81" s="404" t="s">
        <v>369</v>
      </c>
      <c r="E81" s="404"/>
      <c r="F81" s="405">
        <v>2097497</v>
      </c>
      <c r="G81" s="404"/>
      <c r="H81" s="405">
        <v>686042</v>
      </c>
      <c r="I81" s="405">
        <v>1019474.5</v>
      </c>
      <c r="J81" s="405">
        <v>-333432.5</v>
      </c>
      <c r="K81" s="404"/>
      <c r="L81" s="405">
        <v>1048750</v>
      </c>
      <c r="M81" s="405">
        <v>1382165.0399999996</v>
      </c>
      <c r="N81" s="405">
        <v>-333415.03999999957</v>
      </c>
      <c r="O81" s="408" t="s">
        <v>12</v>
      </c>
    </row>
    <row r="82" spans="2:15" s="401" customFormat="1" ht="18" customHeight="1">
      <c r="B82" s="404" t="s">
        <v>384</v>
      </c>
      <c r="C82" s="404" t="s">
        <v>365</v>
      </c>
      <c r="D82" s="404" t="s">
        <v>370</v>
      </c>
      <c r="E82" s="404"/>
      <c r="F82" s="405">
        <v>1685162.86</v>
      </c>
      <c r="G82" s="404"/>
      <c r="H82" s="405">
        <v>33401.879999999997</v>
      </c>
      <c r="I82" s="405">
        <v>253032.90999999997</v>
      </c>
      <c r="J82" s="405">
        <v>-219631.02999999997</v>
      </c>
      <c r="K82" s="404"/>
      <c r="L82" s="405">
        <v>33401.879999999997</v>
      </c>
      <c r="M82" s="405">
        <v>253032.56999999998</v>
      </c>
      <c r="N82" s="405">
        <v>-219630.68999999997</v>
      </c>
      <c r="O82" s="408" t="s">
        <v>12</v>
      </c>
    </row>
    <row r="83" spans="2:15" s="401" customFormat="1" ht="18" customHeight="1">
      <c r="B83" s="404" t="s">
        <v>384</v>
      </c>
      <c r="C83" s="404" t="s">
        <v>371</v>
      </c>
      <c r="D83" s="404" t="s">
        <v>372</v>
      </c>
      <c r="E83" s="404"/>
      <c r="F83" s="405">
        <v>977581</v>
      </c>
      <c r="G83" s="404"/>
      <c r="H83" s="405">
        <v>81465.100000000006</v>
      </c>
      <c r="I83" s="405">
        <v>75948.250000000015</v>
      </c>
      <c r="J83" s="405">
        <v>5516.8499999999913</v>
      </c>
      <c r="K83" s="404"/>
      <c r="L83" s="405">
        <v>488790.5</v>
      </c>
      <c r="M83" s="405">
        <v>496789.79</v>
      </c>
      <c r="N83" s="405">
        <v>-7999.2900000000373</v>
      </c>
      <c r="O83" s="407" t="s">
        <v>149</v>
      </c>
    </row>
    <row r="84" spans="2:15" s="401" customFormat="1" ht="18" customHeight="1">
      <c r="B84" s="404" t="s">
        <v>384</v>
      </c>
      <c r="C84" s="404" t="s">
        <v>371</v>
      </c>
      <c r="D84" s="404" t="s">
        <v>373</v>
      </c>
      <c r="E84" s="404"/>
      <c r="F84" s="405">
        <v>11153600</v>
      </c>
      <c r="G84" s="404"/>
      <c r="H84" s="405">
        <v>929466.70000000019</v>
      </c>
      <c r="I84" s="405">
        <v>916255.62000000011</v>
      </c>
      <c r="J84" s="405">
        <v>13211.080000000075</v>
      </c>
      <c r="K84" s="404"/>
      <c r="L84" s="405">
        <v>5576800</v>
      </c>
      <c r="M84" s="405">
        <v>5475659.2400000002</v>
      </c>
      <c r="N84" s="405">
        <v>101140.75999999978</v>
      </c>
      <c r="O84" s="406" t="s">
        <v>90</v>
      </c>
    </row>
    <row r="85" spans="2:15" s="401" customFormat="1" ht="18" customHeight="1">
      <c r="B85" s="404" t="s">
        <v>384</v>
      </c>
      <c r="C85" s="404" t="s">
        <v>374</v>
      </c>
      <c r="D85" s="404" t="s">
        <v>36</v>
      </c>
      <c r="E85" s="404"/>
      <c r="F85" s="405">
        <v>2395986</v>
      </c>
      <c r="G85" s="404"/>
      <c r="H85" s="405">
        <v>199665.49</v>
      </c>
      <c r="I85" s="405">
        <v>261285.04</v>
      </c>
      <c r="J85" s="405">
        <v>-61619.550000000017</v>
      </c>
      <c r="K85" s="404"/>
      <c r="L85" s="405">
        <v>1197993</v>
      </c>
      <c r="M85" s="405">
        <v>1480727.31</v>
      </c>
      <c r="N85" s="405">
        <v>-282734.31000000006</v>
      </c>
      <c r="O85" s="408" t="s">
        <v>12</v>
      </c>
    </row>
    <row r="86" spans="2:15" s="401" customFormat="1" ht="18" customHeight="1">
      <c r="B86" s="404" t="s">
        <v>384</v>
      </c>
      <c r="C86" s="404" t="s">
        <v>374</v>
      </c>
      <c r="D86" s="404" t="s">
        <v>89</v>
      </c>
      <c r="E86" s="404"/>
      <c r="F86" s="405">
        <v>28326675</v>
      </c>
      <c r="G86" s="404"/>
      <c r="H86" s="405">
        <v>2783389.5799999996</v>
      </c>
      <c r="I86" s="405">
        <v>2585640.1</v>
      </c>
      <c r="J86" s="405">
        <v>197749.47999999952</v>
      </c>
      <c r="K86" s="404"/>
      <c r="L86" s="405">
        <v>14120337.5</v>
      </c>
      <c r="M86" s="405">
        <v>14123793.260000002</v>
      </c>
      <c r="N86" s="405">
        <v>-3455.7600000016391</v>
      </c>
      <c r="O86" s="407" t="s">
        <v>149</v>
      </c>
    </row>
    <row r="87" spans="2:15" s="401" customFormat="1" ht="18" customHeight="1">
      <c r="B87" s="404" t="s">
        <v>384</v>
      </c>
      <c r="C87" s="404" t="s">
        <v>374</v>
      </c>
      <c r="D87" s="404" t="s">
        <v>34</v>
      </c>
      <c r="E87" s="404"/>
      <c r="F87" s="405">
        <v>4875626</v>
      </c>
      <c r="G87" s="404"/>
      <c r="H87" s="405">
        <v>406302.17</v>
      </c>
      <c r="I87" s="405">
        <v>479876.79</v>
      </c>
      <c r="J87" s="405">
        <v>-73574.62</v>
      </c>
      <c r="K87" s="404"/>
      <c r="L87" s="405">
        <v>2437813</v>
      </c>
      <c r="M87" s="405">
        <v>2542564.42</v>
      </c>
      <c r="N87" s="405">
        <v>-104751.41999999993</v>
      </c>
      <c r="O87" s="408" t="s">
        <v>12</v>
      </c>
    </row>
    <row r="88" spans="2:15" s="401" customFormat="1" ht="18" customHeight="1">
      <c r="B88" s="404" t="s">
        <v>384</v>
      </c>
      <c r="C88" s="404" t="s">
        <v>374</v>
      </c>
      <c r="D88" s="404" t="s">
        <v>30</v>
      </c>
      <c r="E88" s="404"/>
      <c r="F88" s="405">
        <v>31240461</v>
      </c>
      <c r="G88" s="404"/>
      <c r="H88" s="405">
        <v>2603205.41</v>
      </c>
      <c r="I88" s="405">
        <v>2732659.68</v>
      </c>
      <c r="J88" s="405">
        <v>-129454.26999999955</v>
      </c>
      <c r="K88" s="404"/>
      <c r="L88" s="405">
        <v>15619228.5</v>
      </c>
      <c r="M88" s="405">
        <v>15752021.9</v>
      </c>
      <c r="N88" s="405">
        <v>-132793.40000000037</v>
      </c>
      <c r="O88" s="408" t="s">
        <v>12</v>
      </c>
    </row>
    <row r="89" spans="2:15" s="401" customFormat="1" ht="18" customHeight="1">
      <c r="B89" s="404" t="s">
        <v>384</v>
      </c>
      <c r="C89" s="404" t="s">
        <v>374</v>
      </c>
      <c r="D89" s="404" t="s">
        <v>33</v>
      </c>
      <c r="E89" s="404"/>
      <c r="F89" s="405">
        <v>10776047</v>
      </c>
      <c r="G89" s="404"/>
      <c r="H89" s="405">
        <v>895253.92</v>
      </c>
      <c r="I89" s="405">
        <v>682601.56</v>
      </c>
      <c r="J89" s="405">
        <v>212652.36</v>
      </c>
      <c r="K89" s="404"/>
      <c r="L89" s="405">
        <v>5371523.5</v>
      </c>
      <c r="M89" s="405">
        <v>5136584.22</v>
      </c>
      <c r="N89" s="405">
        <v>234939.28000000026</v>
      </c>
      <c r="O89" s="406" t="s">
        <v>90</v>
      </c>
    </row>
    <row r="90" spans="2:15" s="401" customFormat="1" ht="18" customHeight="1">
      <c r="B90" s="404" t="s">
        <v>384</v>
      </c>
      <c r="C90" s="404" t="s">
        <v>374</v>
      </c>
      <c r="D90" s="404" t="s">
        <v>35</v>
      </c>
      <c r="E90" s="404"/>
      <c r="F90" s="405">
        <v>2280957</v>
      </c>
      <c r="G90" s="404"/>
      <c r="H90" s="405">
        <v>190079.75000000003</v>
      </c>
      <c r="I90" s="405">
        <v>161280.18000000002</v>
      </c>
      <c r="J90" s="405">
        <v>28799.570000000007</v>
      </c>
      <c r="K90" s="404"/>
      <c r="L90" s="405">
        <v>1140478.5</v>
      </c>
      <c r="M90" s="405">
        <v>1119205.0199999998</v>
      </c>
      <c r="N90" s="405">
        <v>21273.480000000214</v>
      </c>
      <c r="O90" s="406" t="s">
        <v>90</v>
      </c>
    </row>
    <row r="91" spans="2:15" s="401" customFormat="1" ht="18" customHeight="1">
      <c r="B91" s="404" t="s">
        <v>384</v>
      </c>
      <c r="C91" s="404" t="s">
        <v>375</v>
      </c>
      <c r="D91" s="404" t="s">
        <v>376</v>
      </c>
      <c r="E91" s="404"/>
      <c r="F91" s="405">
        <v>181023436.56</v>
      </c>
      <c r="G91" s="404"/>
      <c r="H91" s="405">
        <v>16294274.890000001</v>
      </c>
      <c r="I91" s="405">
        <v>15257647.15</v>
      </c>
      <c r="J91" s="405">
        <v>1036627.7400000002</v>
      </c>
      <c r="K91" s="404"/>
      <c r="L91" s="405">
        <v>97110090.039999992</v>
      </c>
      <c r="M91" s="405">
        <v>96297451.13000001</v>
      </c>
      <c r="N91" s="405">
        <v>812638.90999998152</v>
      </c>
      <c r="O91" s="406" t="s">
        <v>90</v>
      </c>
    </row>
    <row r="92" spans="2:15" s="401" customFormat="1" ht="18" customHeight="1">
      <c r="B92" s="404" t="s">
        <v>384</v>
      </c>
      <c r="C92" s="404" t="s">
        <v>375</v>
      </c>
      <c r="D92" s="404" t="s">
        <v>377</v>
      </c>
      <c r="E92" s="404"/>
      <c r="F92" s="405">
        <v>1322618</v>
      </c>
      <c r="G92" s="404"/>
      <c r="H92" s="405">
        <v>110218.16999999998</v>
      </c>
      <c r="I92" s="405">
        <v>110218.5</v>
      </c>
      <c r="J92" s="405">
        <v>-0.33000000001629815</v>
      </c>
      <c r="K92" s="404"/>
      <c r="L92" s="405">
        <v>661309</v>
      </c>
      <c r="M92" s="405">
        <v>661309.02999999991</v>
      </c>
      <c r="N92" s="405">
        <v>-2.9999999911524355E-2</v>
      </c>
      <c r="O92" s="407" t="s">
        <v>149</v>
      </c>
    </row>
    <row r="93" spans="2:15" s="401" customFormat="1" ht="18" customHeight="1">
      <c r="B93" s="404" t="s">
        <v>384</v>
      </c>
      <c r="C93" s="404" t="s">
        <v>375</v>
      </c>
      <c r="D93" s="404" t="s">
        <v>378</v>
      </c>
      <c r="E93" s="404"/>
      <c r="F93" s="405">
        <v>3391954</v>
      </c>
      <c r="G93" s="404"/>
      <c r="H93" s="405">
        <v>2115996</v>
      </c>
      <c r="I93" s="405">
        <v>2067938.9199999997</v>
      </c>
      <c r="J93" s="405">
        <v>48057.080000000307</v>
      </c>
      <c r="K93" s="404"/>
      <c r="L93" s="405">
        <v>2695977</v>
      </c>
      <c r="M93" s="405">
        <v>2647920.2700000005</v>
      </c>
      <c r="N93" s="405">
        <v>48056.729999999516</v>
      </c>
      <c r="O93" s="406" t="s">
        <v>90</v>
      </c>
    </row>
    <row r="94" spans="2:15" s="401" customFormat="1" ht="18" customHeight="1">
      <c r="B94" s="404" t="s">
        <v>384</v>
      </c>
      <c r="C94" s="404" t="s">
        <v>375</v>
      </c>
      <c r="D94" s="404" t="s">
        <v>379</v>
      </c>
      <c r="E94" s="404"/>
      <c r="F94" s="405">
        <v>3083308.87</v>
      </c>
      <c r="G94" s="404"/>
      <c r="H94" s="405">
        <v>256942</v>
      </c>
      <c r="I94" s="405">
        <v>414845.91999999969</v>
      </c>
      <c r="J94" s="405">
        <v>-157903.91999999969</v>
      </c>
      <c r="K94" s="404"/>
      <c r="L94" s="405">
        <v>1541653.87</v>
      </c>
      <c r="M94" s="405">
        <v>1824558.7200000002</v>
      </c>
      <c r="N94" s="405">
        <v>-282904.85000000009</v>
      </c>
      <c r="O94" s="408" t="s">
        <v>12</v>
      </c>
    </row>
    <row r="95" spans="2:15" s="401" customFormat="1" ht="18" customHeight="1">
      <c r="B95" s="404" t="s">
        <v>384</v>
      </c>
      <c r="C95" s="404" t="s">
        <v>375</v>
      </c>
      <c r="D95" s="404" t="s">
        <v>380</v>
      </c>
      <c r="E95" s="404"/>
      <c r="F95" s="405">
        <v>8410749</v>
      </c>
      <c r="G95" s="404"/>
      <c r="H95" s="405">
        <v>700895.41</v>
      </c>
      <c r="I95" s="405">
        <v>838976.5</v>
      </c>
      <c r="J95" s="405">
        <v>-138081.08999999997</v>
      </c>
      <c r="K95" s="404"/>
      <c r="L95" s="405">
        <v>4205376.5</v>
      </c>
      <c r="M95" s="405">
        <v>4223889.5</v>
      </c>
      <c r="N95" s="405">
        <v>-18513</v>
      </c>
      <c r="O95" s="407" t="s">
        <v>149</v>
      </c>
    </row>
    <row r="96" spans="2:15" s="401" customFormat="1" ht="18" customHeight="1">
      <c r="B96" s="404" t="s">
        <v>384</v>
      </c>
      <c r="C96" s="404" t="s">
        <v>381</v>
      </c>
      <c r="D96" s="404" t="s">
        <v>32</v>
      </c>
      <c r="E96" s="404"/>
      <c r="F96" s="405">
        <v>13086685</v>
      </c>
      <c r="G96" s="404"/>
      <c r="H96" s="405">
        <v>1234356.3700000001</v>
      </c>
      <c r="I96" s="405">
        <v>1098349.8700000001</v>
      </c>
      <c r="J96" s="405">
        <v>136006.5</v>
      </c>
      <c r="K96" s="404"/>
      <c r="L96" s="405">
        <v>6543342.5</v>
      </c>
      <c r="M96" s="405">
        <v>6480149.2400000012</v>
      </c>
      <c r="N96" s="405">
        <v>63193.259999998845</v>
      </c>
      <c r="O96" s="406" t="s">
        <v>90</v>
      </c>
    </row>
    <row r="97" spans="2:15" s="401" customFormat="1" ht="18" customHeight="1">
      <c r="B97" s="404" t="s">
        <v>384</v>
      </c>
      <c r="C97" s="404" t="s">
        <v>381</v>
      </c>
      <c r="D97" s="404" t="s">
        <v>110</v>
      </c>
      <c r="E97" s="404"/>
      <c r="F97" s="405">
        <v>33247084</v>
      </c>
      <c r="G97" s="404"/>
      <c r="H97" s="405">
        <v>3284076.5799999996</v>
      </c>
      <c r="I97" s="405">
        <v>3339730.3299999963</v>
      </c>
      <c r="J97" s="405">
        <v>-55653.74999999674</v>
      </c>
      <c r="K97" s="404"/>
      <c r="L97" s="405">
        <v>16639882.079999998</v>
      </c>
      <c r="M97" s="405">
        <v>16541052.990000019</v>
      </c>
      <c r="N97" s="405">
        <v>98829.089999979362</v>
      </c>
      <c r="O97" s="406" t="s">
        <v>90</v>
      </c>
    </row>
    <row r="98" spans="2:15" s="401" customFormat="1" ht="18" customHeight="1">
      <c r="B98" s="404" t="s">
        <v>384</v>
      </c>
      <c r="C98" s="404" t="s">
        <v>381</v>
      </c>
      <c r="D98" s="404" t="s">
        <v>10</v>
      </c>
      <c r="E98" s="404"/>
      <c r="F98" s="405">
        <v>2050000</v>
      </c>
      <c r="G98" s="404"/>
      <c r="H98" s="405">
        <v>170833.34</v>
      </c>
      <c r="I98" s="405">
        <v>208154.44</v>
      </c>
      <c r="J98" s="405">
        <v>-37321.100000000006</v>
      </c>
      <c r="K98" s="404"/>
      <c r="L98" s="405">
        <v>1025000</v>
      </c>
      <c r="M98" s="405">
        <v>1113385.26</v>
      </c>
      <c r="N98" s="405">
        <v>-88385.26</v>
      </c>
      <c r="O98" s="407" t="s">
        <v>149</v>
      </c>
    </row>
    <row r="99" spans="2:15" s="401" customFormat="1" ht="18" customHeight="1">
      <c r="B99" s="404" t="s">
        <v>384</v>
      </c>
      <c r="C99" s="404" t="s">
        <v>381</v>
      </c>
      <c r="D99" s="404" t="s">
        <v>382</v>
      </c>
      <c r="E99" s="404"/>
      <c r="F99" s="405">
        <v>2348724</v>
      </c>
      <c r="G99" s="404"/>
      <c r="H99" s="405">
        <v>195727</v>
      </c>
      <c r="I99" s="405">
        <v>367664.5</v>
      </c>
      <c r="J99" s="405">
        <v>-171937.5</v>
      </c>
      <c r="K99" s="404"/>
      <c r="L99" s="405">
        <v>1174362</v>
      </c>
      <c r="M99" s="405">
        <v>1386727.42</v>
      </c>
      <c r="N99" s="405">
        <v>-212365.41999999993</v>
      </c>
      <c r="O99" s="408" t="s">
        <v>12</v>
      </c>
    </row>
    <row r="100" spans="2:15" s="401" customFormat="1" ht="18" customHeight="1">
      <c r="B100" s="404" t="s">
        <v>384</v>
      </c>
      <c r="C100" s="404" t="s">
        <v>381</v>
      </c>
      <c r="D100" s="404" t="s">
        <v>31</v>
      </c>
      <c r="E100" s="404"/>
      <c r="F100" s="405">
        <v>38081622</v>
      </c>
      <c r="G100" s="404"/>
      <c r="H100" s="405">
        <v>3173468.5</v>
      </c>
      <c r="I100" s="405">
        <v>3300408.0800000005</v>
      </c>
      <c r="J100" s="405">
        <v>-126939.58000000054</v>
      </c>
      <c r="K100" s="404"/>
      <c r="L100" s="405">
        <v>19040811</v>
      </c>
      <c r="M100" s="405">
        <v>19399478.700000003</v>
      </c>
      <c r="N100" s="405">
        <v>-358667.70000000298</v>
      </c>
      <c r="O100" s="408" t="s">
        <v>12</v>
      </c>
    </row>
    <row r="101" spans="2:15" s="401" customFormat="1" ht="18" customHeight="1">
      <c r="B101" s="409" t="s">
        <v>384</v>
      </c>
      <c r="C101" s="409"/>
      <c r="D101" s="410"/>
      <c r="E101" s="410" t="s">
        <v>119</v>
      </c>
      <c r="F101" s="411">
        <v>-4152000</v>
      </c>
      <c r="G101" s="409"/>
      <c r="H101" s="411">
        <v>-345864.50999999559</v>
      </c>
      <c r="I101" s="411">
        <v>-345359.48000000417</v>
      </c>
      <c r="J101" s="411">
        <v>-505.02999999909662</v>
      </c>
      <c r="K101" s="409"/>
      <c r="L101" s="411">
        <v>-2075999.6700000092</v>
      </c>
      <c r="M101" s="411">
        <v>-2076000.6199999899</v>
      </c>
      <c r="N101" s="411">
        <v>0.94999996188562363</v>
      </c>
      <c r="O101" s="409"/>
    </row>
    <row r="102" spans="2:15" s="401" customFormat="1" ht="18" customHeight="1">
      <c r="B102" s="412"/>
      <c r="C102" s="412"/>
      <c r="D102" s="412"/>
      <c r="E102" s="412"/>
      <c r="F102" s="412"/>
      <c r="G102" s="412"/>
      <c r="H102" s="412"/>
      <c r="I102" s="412"/>
      <c r="J102" s="412"/>
      <c r="K102" s="412"/>
      <c r="L102" s="412"/>
      <c r="M102" s="412"/>
      <c r="N102" s="412"/>
      <c r="O102" s="412"/>
    </row>
    <row r="103" spans="2:15" s="401" customFormat="1" ht="18" customHeight="1">
      <c r="B103" s="409"/>
      <c r="C103" s="409"/>
      <c r="D103" s="410" t="s">
        <v>45</v>
      </c>
      <c r="E103" s="410"/>
      <c r="F103" s="413">
        <v>-10218000.00000006</v>
      </c>
      <c r="G103" s="409"/>
      <c r="H103" s="413">
        <v>-851364.34999999218</v>
      </c>
      <c r="I103" s="413">
        <v>-346516.34000000358</v>
      </c>
      <c r="J103" s="413">
        <v>-504848.00999998976</v>
      </c>
      <c r="K103" s="409"/>
      <c r="L103" s="413">
        <v>-5108999.66999989</v>
      </c>
      <c r="M103" s="413">
        <v>-2078043.2700000256</v>
      </c>
      <c r="N103" s="413">
        <v>-3030956.4000000013</v>
      </c>
      <c r="O103" s="414" t="s">
        <v>12</v>
      </c>
    </row>
    <row r="104" spans="2:15" s="401" customFormat="1" ht="18" customHeight="1">
      <c r="B104" s="409"/>
      <c r="C104" s="409"/>
      <c r="D104" s="410"/>
      <c r="E104" s="410" t="s">
        <v>119</v>
      </c>
      <c r="F104" s="411">
        <v>-10218000.00000006</v>
      </c>
      <c r="G104" s="409"/>
      <c r="H104" s="411">
        <v>-851364.34999999218</v>
      </c>
      <c r="I104" s="411">
        <v>-346516.34000000358</v>
      </c>
      <c r="J104" s="411">
        <v>-504848.00999998976</v>
      </c>
      <c r="K104" s="409"/>
      <c r="L104" s="411">
        <v>-5108999.66999989</v>
      </c>
      <c r="M104" s="411">
        <v>-2078043.2700000256</v>
      </c>
      <c r="N104" s="411">
        <v>-3030956.4000000013</v>
      </c>
      <c r="O104" s="409"/>
    </row>
    <row r="108" spans="2:15" s="401" customFormat="1" ht="18" customHeight="1">
      <c r="B108" s="404" t="s">
        <v>362</v>
      </c>
      <c r="C108" s="404" t="s">
        <v>365</v>
      </c>
      <c r="D108" s="404" t="s">
        <v>366</v>
      </c>
      <c r="E108" s="404"/>
      <c r="F108" s="405">
        <v>602319.01</v>
      </c>
      <c r="G108" s="404"/>
      <c r="H108" s="405">
        <v>87933.25</v>
      </c>
      <c r="I108" s="405">
        <v>94870</v>
      </c>
      <c r="J108" s="405">
        <v>-6936.75</v>
      </c>
      <c r="K108" s="404"/>
      <c r="L108" s="405">
        <v>301159.5</v>
      </c>
      <c r="M108" s="405">
        <v>300359.95</v>
      </c>
      <c r="N108" s="405">
        <v>799.54999999998836</v>
      </c>
      <c r="O108" s="406" t="s">
        <v>90</v>
      </c>
    </row>
    <row r="109" spans="2:15" s="401" customFormat="1" ht="18" customHeight="1">
      <c r="B109" s="404" t="s">
        <v>383</v>
      </c>
      <c r="C109" s="404" t="s">
        <v>365</v>
      </c>
      <c r="D109" s="404" t="s">
        <v>366</v>
      </c>
      <c r="E109" s="404"/>
      <c r="F109" s="405">
        <v>423625</v>
      </c>
      <c r="G109" s="404"/>
      <c r="H109" s="405">
        <v>35302</v>
      </c>
      <c r="I109" s="405">
        <v>39103.960000000006</v>
      </c>
      <c r="J109" s="405">
        <v>-3801.9600000000064</v>
      </c>
      <c r="K109" s="404"/>
      <c r="L109" s="405">
        <v>211811</v>
      </c>
      <c r="M109" s="405">
        <v>210241.86</v>
      </c>
      <c r="N109" s="405">
        <v>1569.140000000014</v>
      </c>
      <c r="O109" s="406" t="s">
        <v>90</v>
      </c>
    </row>
    <row r="110" spans="2:15" s="401" customFormat="1" ht="18" customHeight="1">
      <c r="B110" s="404" t="s">
        <v>384</v>
      </c>
      <c r="C110" s="404" t="s">
        <v>365</v>
      </c>
      <c r="D110" s="404" t="s">
        <v>366</v>
      </c>
      <c r="E110" s="404"/>
      <c r="F110" s="405">
        <v>407766</v>
      </c>
      <c r="G110" s="404"/>
      <c r="H110" s="405">
        <v>33981</v>
      </c>
      <c r="I110" s="405">
        <v>38204.49</v>
      </c>
      <c r="J110" s="405">
        <v>-4223.489999999998</v>
      </c>
      <c r="K110" s="404"/>
      <c r="L110" s="405">
        <v>203884</v>
      </c>
      <c r="M110" s="405">
        <v>202678.62</v>
      </c>
      <c r="N110" s="405">
        <v>1205.3800000000047</v>
      </c>
      <c r="O110" s="406" t="s">
        <v>90</v>
      </c>
    </row>
    <row r="111" spans="2:15" s="401" customFormat="1" ht="18" customHeight="1">
      <c r="B111" s="404" t="s">
        <v>362</v>
      </c>
      <c r="C111" s="404" t="s">
        <v>365</v>
      </c>
      <c r="D111" s="404" t="s">
        <v>39</v>
      </c>
      <c r="E111" s="404"/>
      <c r="F111" s="405">
        <v>4057079</v>
      </c>
      <c r="G111" s="404"/>
      <c r="H111" s="405">
        <v>399522.64999999991</v>
      </c>
      <c r="I111" s="405">
        <v>259737.6400000001</v>
      </c>
      <c r="J111" s="405">
        <v>139785.00999999981</v>
      </c>
      <c r="K111" s="404"/>
      <c r="L111" s="405">
        <v>2056655.5</v>
      </c>
      <c r="M111" s="405">
        <v>1949583.0799999998</v>
      </c>
      <c r="N111" s="405">
        <v>107072.42000000016</v>
      </c>
      <c r="O111" s="406" t="s">
        <v>90</v>
      </c>
    </row>
    <row r="112" spans="2:15" s="401" customFormat="1" ht="18" customHeight="1">
      <c r="B112" s="404" t="s">
        <v>383</v>
      </c>
      <c r="C112" s="404" t="s">
        <v>365</v>
      </c>
      <c r="D112" s="404" t="s">
        <v>39</v>
      </c>
      <c r="E112" s="404"/>
      <c r="F112" s="405">
        <v>3214314</v>
      </c>
      <c r="G112" s="404"/>
      <c r="H112" s="405">
        <v>222276</v>
      </c>
      <c r="I112" s="405">
        <v>139016.89000000001</v>
      </c>
      <c r="J112" s="405">
        <v>83259.109999999986</v>
      </c>
      <c r="K112" s="404"/>
      <c r="L112" s="405">
        <v>1333656</v>
      </c>
      <c r="M112" s="405">
        <v>1335989.9500000007</v>
      </c>
      <c r="N112" s="405">
        <v>-2333.9500000006519</v>
      </c>
      <c r="O112" s="407" t="s">
        <v>149</v>
      </c>
    </row>
    <row r="113" spans="2:15" s="401" customFormat="1" ht="18" customHeight="1">
      <c r="B113" s="404" t="s">
        <v>384</v>
      </c>
      <c r="C113" s="404" t="s">
        <v>365</v>
      </c>
      <c r="D113" s="404" t="s">
        <v>39</v>
      </c>
      <c r="E113" s="404"/>
      <c r="F113" s="405">
        <v>2963759</v>
      </c>
      <c r="G113" s="404"/>
      <c r="H113" s="405">
        <v>193015.08</v>
      </c>
      <c r="I113" s="405">
        <v>199875.90000000008</v>
      </c>
      <c r="J113" s="405">
        <v>-6860.8200000000652</v>
      </c>
      <c r="K113" s="404"/>
      <c r="L113" s="405">
        <v>1158086.5</v>
      </c>
      <c r="M113" s="405">
        <v>1164922.8400000001</v>
      </c>
      <c r="N113" s="405">
        <v>-6836.3400000000838</v>
      </c>
      <c r="O113" s="407" t="s">
        <v>149</v>
      </c>
    </row>
    <row r="114" spans="2:15" s="401" customFormat="1" ht="18" customHeight="1">
      <c r="B114" s="404" t="s">
        <v>362</v>
      </c>
      <c r="C114" s="404" t="s">
        <v>365</v>
      </c>
      <c r="D114" s="404" t="s">
        <v>367</v>
      </c>
      <c r="E114" s="404"/>
      <c r="F114" s="405">
        <v>2662836</v>
      </c>
      <c r="G114" s="404"/>
      <c r="H114" s="405">
        <v>114149.95000000003</v>
      </c>
      <c r="I114" s="405">
        <v>227199.83</v>
      </c>
      <c r="J114" s="405">
        <v>-113049.87999999999</v>
      </c>
      <c r="K114" s="404"/>
      <c r="L114" s="405">
        <v>1297379.68</v>
      </c>
      <c r="M114" s="405">
        <v>1410156.5900000005</v>
      </c>
      <c r="N114" s="405">
        <v>-112776.91000000061</v>
      </c>
      <c r="O114" s="408" t="s">
        <v>12</v>
      </c>
    </row>
    <row r="115" spans="2:15" s="401" customFormat="1" ht="18" customHeight="1">
      <c r="B115" s="404" t="s">
        <v>383</v>
      </c>
      <c r="C115" s="404" t="s">
        <v>365</v>
      </c>
      <c r="D115" s="404" t="s">
        <v>367</v>
      </c>
      <c r="E115" s="404"/>
      <c r="F115" s="405">
        <v>1743495</v>
      </c>
      <c r="G115" s="404"/>
      <c r="H115" s="405">
        <v>60292</v>
      </c>
      <c r="I115" s="405">
        <v>136681.78999999998</v>
      </c>
      <c r="J115" s="405">
        <v>-76389.789999999979</v>
      </c>
      <c r="K115" s="404"/>
      <c r="L115" s="405">
        <v>871752</v>
      </c>
      <c r="M115" s="405">
        <v>969221.45</v>
      </c>
      <c r="N115" s="405">
        <v>-97469.45000000007</v>
      </c>
      <c r="O115" s="407" t="s">
        <v>149</v>
      </c>
    </row>
    <row r="116" spans="2:15" s="401" customFormat="1" ht="18" customHeight="1">
      <c r="B116" s="404" t="s">
        <v>384</v>
      </c>
      <c r="C116" s="404" t="s">
        <v>365</v>
      </c>
      <c r="D116" s="404" t="s">
        <v>367</v>
      </c>
      <c r="E116" s="404"/>
      <c r="F116" s="405">
        <v>2016220</v>
      </c>
      <c r="G116" s="404"/>
      <c r="H116" s="405">
        <v>106850.08000000002</v>
      </c>
      <c r="I116" s="405">
        <v>134428.63</v>
      </c>
      <c r="J116" s="405">
        <v>-27578.549999999988</v>
      </c>
      <c r="K116" s="404"/>
      <c r="L116" s="405">
        <v>1008109</v>
      </c>
      <c r="M116" s="405">
        <v>1035600.17</v>
      </c>
      <c r="N116" s="405">
        <v>-27491.170000000042</v>
      </c>
      <c r="O116" s="407" t="s">
        <v>149</v>
      </c>
    </row>
    <row r="117" spans="2:15" s="401" customFormat="1" ht="18" customHeight="1">
      <c r="B117" s="404" t="s">
        <v>362</v>
      </c>
      <c r="C117" s="404" t="s">
        <v>363</v>
      </c>
      <c r="D117" s="404" t="s">
        <v>111</v>
      </c>
      <c r="E117" s="404"/>
      <c r="F117" s="405">
        <v>0</v>
      </c>
      <c r="G117" s="404"/>
      <c r="H117" s="405">
        <v>0</v>
      </c>
      <c r="I117" s="405">
        <v>945.79000000000292</v>
      </c>
      <c r="J117" s="405">
        <v>-945.79000000000292</v>
      </c>
      <c r="K117" s="404"/>
      <c r="L117" s="405">
        <v>0</v>
      </c>
      <c r="M117" s="405">
        <v>-14.450000000044383</v>
      </c>
      <c r="N117" s="405">
        <v>14.450000000044383</v>
      </c>
      <c r="O117" s="406" t="s">
        <v>90</v>
      </c>
    </row>
    <row r="118" spans="2:15" s="401" customFormat="1" ht="18" customHeight="1">
      <c r="B118" s="404" t="s">
        <v>362</v>
      </c>
      <c r="C118" s="404" t="s">
        <v>365</v>
      </c>
      <c r="D118" s="404" t="s">
        <v>111</v>
      </c>
      <c r="E118" s="404"/>
      <c r="F118" s="405">
        <v>3134731.3499999996</v>
      </c>
      <c r="G118" s="404"/>
      <c r="H118" s="405">
        <v>1039394.29</v>
      </c>
      <c r="I118" s="405">
        <v>497258.11999999936</v>
      </c>
      <c r="J118" s="405">
        <v>542136.17000000062</v>
      </c>
      <c r="K118" s="404"/>
      <c r="L118" s="405">
        <v>2107615.7400000002</v>
      </c>
      <c r="M118" s="405">
        <v>1851422.2299999997</v>
      </c>
      <c r="N118" s="405">
        <v>256193.51000000047</v>
      </c>
      <c r="O118" s="406" t="s">
        <v>90</v>
      </c>
    </row>
    <row r="119" spans="2:15" s="401" customFormat="1" ht="18" customHeight="1">
      <c r="B119" s="404" t="s">
        <v>383</v>
      </c>
      <c r="C119" s="404" t="s">
        <v>365</v>
      </c>
      <c r="D119" s="404" t="s">
        <v>111</v>
      </c>
      <c r="E119" s="404"/>
      <c r="F119" s="405">
        <v>2449248</v>
      </c>
      <c r="G119" s="404"/>
      <c r="H119" s="405">
        <v>47859.4</v>
      </c>
      <c r="I119" s="405">
        <v>-117163.98000000004</v>
      </c>
      <c r="J119" s="405">
        <v>165023.38000000003</v>
      </c>
      <c r="K119" s="404"/>
      <c r="L119" s="405">
        <v>1129656.5</v>
      </c>
      <c r="M119" s="405">
        <v>983033.31999999983</v>
      </c>
      <c r="N119" s="405">
        <v>146623.18000000017</v>
      </c>
      <c r="O119" s="406" t="s">
        <v>90</v>
      </c>
    </row>
    <row r="120" spans="2:15" s="401" customFormat="1" ht="18" customHeight="1">
      <c r="B120" s="404" t="s">
        <v>384</v>
      </c>
      <c r="C120" s="404" t="s">
        <v>365</v>
      </c>
      <c r="D120" s="404" t="s">
        <v>111</v>
      </c>
      <c r="E120" s="404"/>
      <c r="F120" s="405">
        <v>6067334</v>
      </c>
      <c r="G120" s="404"/>
      <c r="H120" s="405">
        <v>-5638.7999999999302</v>
      </c>
      <c r="I120" s="405">
        <v>586787.88999999943</v>
      </c>
      <c r="J120" s="405">
        <v>-592426.68999999936</v>
      </c>
      <c r="K120" s="404"/>
      <c r="L120" s="405">
        <v>3033667</v>
      </c>
      <c r="M120" s="405">
        <v>3625861.5100000012</v>
      </c>
      <c r="N120" s="405">
        <v>-592194.51000000117</v>
      </c>
      <c r="O120" s="408" t="s">
        <v>12</v>
      </c>
    </row>
    <row r="121" spans="2:15" s="401" customFormat="1" ht="18" customHeight="1">
      <c r="B121" s="404" t="s">
        <v>362</v>
      </c>
      <c r="C121" s="404" t="s">
        <v>363</v>
      </c>
      <c r="D121" s="404" t="s">
        <v>364</v>
      </c>
      <c r="E121" s="404"/>
      <c r="F121" s="405">
        <v>-1.5541445907985008E-10</v>
      </c>
      <c r="G121" s="404"/>
      <c r="H121" s="405">
        <v>1.2514645569838834E-11</v>
      </c>
      <c r="I121" s="405">
        <v>14.670000000044638</v>
      </c>
      <c r="J121" s="405">
        <v>-14.670000000032124</v>
      </c>
      <c r="K121" s="404"/>
      <c r="L121" s="405">
        <v>1.5512341411394459E-10</v>
      </c>
      <c r="M121" s="405">
        <v>14.449999999993452</v>
      </c>
      <c r="N121" s="405">
        <v>-14.449999999838328</v>
      </c>
      <c r="O121" s="407" t="s">
        <v>149</v>
      </c>
    </row>
    <row r="122" spans="2:15" s="401" customFormat="1" ht="18" customHeight="1">
      <c r="B122" s="404" t="s">
        <v>362</v>
      </c>
      <c r="C122" s="404" t="s">
        <v>365</v>
      </c>
      <c r="D122" s="404" t="s">
        <v>368</v>
      </c>
      <c r="E122" s="404"/>
      <c r="F122" s="405">
        <v>1604601</v>
      </c>
      <c r="G122" s="404"/>
      <c r="H122" s="405">
        <v>169703.25</v>
      </c>
      <c r="I122" s="405">
        <v>125695.88999999998</v>
      </c>
      <c r="J122" s="405">
        <v>44007.360000000015</v>
      </c>
      <c r="K122" s="404"/>
      <c r="L122" s="405">
        <v>802300.5</v>
      </c>
      <c r="M122" s="405">
        <v>758702.23</v>
      </c>
      <c r="N122" s="405">
        <v>43598.270000000019</v>
      </c>
      <c r="O122" s="406" t="s">
        <v>90</v>
      </c>
    </row>
    <row r="123" spans="2:15" s="401" customFormat="1" ht="18" customHeight="1">
      <c r="B123" s="404" t="s">
        <v>383</v>
      </c>
      <c r="C123" s="404" t="s">
        <v>365</v>
      </c>
      <c r="D123" s="404" t="s">
        <v>368</v>
      </c>
      <c r="E123" s="404"/>
      <c r="F123" s="405">
        <v>837367</v>
      </c>
      <c r="G123" s="404"/>
      <c r="H123" s="405">
        <v>68110</v>
      </c>
      <c r="I123" s="405">
        <v>52815.360000000022</v>
      </c>
      <c r="J123" s="405">
        <v>15294.639999999978</v>
      </c>
      <c r="K123" s="404"/>
      <c r="L123" s="405">
        <v>408660</v>
      </c>
      <c r="M123" s="405">
        <v>392754.53</v>
      </c>
      <c r="N123" s="405">
        <v>15905.47000000003</v>
      </c>
      <c r="O123" s="406" t="s">
        <v>90</v>
      </c>
    </row>
    <row r="124" spans="2:15" s="401" customFormat="1" ht="18" customHeight="1">
      <c r="B124" s="404" t="s">
        <v>384</v>
      </c>
      <c r="C124" s="404" t="s">
        <v>365</v>
      </c>
      <c r="D124" s="404" t="s">
        <v>368</v>
      </c>
      <c r="E124" s="404"/>
      <c r="F124" s="405">
        <v>1184730</v>
      </c>
      <c r="G124" s="404"/>
      <c r="H124" s="405">
        <v>-501906.61</v>
      </c>
      <c r="I124" s="405">
        <v>-524749.23</v>
      </c>
      <c r="J124" s="405">
        <v>22842.619999999995</v>
      </c>
      <c r="K124" s="404"/>
      <c r="L124" s="405">
        <v>592364</v>
      </c>
      <c r="M124" s="405">
        <v>569502.21</v>
      </c>
      <c r="N124" s="405">
        <v>22861.790000000037</v>
      </c>
      <c r="O124" s="406" t="s">
        <v>90</v>
      </c>
    </row>
    <row r="125" spans="2:15" s="401" customFormat="1" ht="18" customHeight="1">
      <c r="B125" s="404" t="s">
        <v>362</v>
      </c>
      <c r="C125" s="404" t="s">
        <v>365</v>
      </c>
      <c r="D125" s="404" t="s">
        <v>369</v>
      </c>
      <c r="E125" s="404"/>
      <c r="F125" s="405">
        <v>804000</v>
      </c>
      <c r="G125" s="404"/>
      <c r="H125" s="405">
        <v>233666.66</v>
      </c>
      <c r="I125" s="405">
        <v>241050.12999999998</v>
      </c>
      <c r="J125" s="405">
        <v>-7383.4699999999721</v>
      </c>
      <c r="K125" s="404"/>
      <c r="L125" s="405">
        <v>401999.98</v>
      </c>
      <c r="M125" s="405">
        <v>409371.96</v>
      </c>
      <c r="N125" s="405">
        <v>-7371.9799999999814</v>
      </c>
      <c r="O125" s="407" t="s">
        <v>149</v>
      </c>
    </row>
    <row r="126" spans="2:15" s="401" customFormat="1" ht="18" customHeight="1">
      <c r="B126" s="404" t="s">
        <v>383</v>
      </c>
      <c r="C126" s="404" t="s">
        <v>365</v>
      </c>
      <c r="D126" s="404" t="s">
        <v>369</v>
      </c>
      <c r="E126" s="404"/>
      <c r="F126" s="405">
        <v>857000</v>
      </c>
      <c r="G126" s="404"/>
      <c r="H126" s="405">
        <v>211834</v>
      </c>
      <c r="I126" s="405">
        <v>322191.22000000003</v>
      </c>
      <c r="J126" s="405">
        <v>-110357.22000000003</v>
      </c>
      <c r="K126" s="404"/>
      <c r="L126" s="405">
        <v>428504</v>
      </c>
      <c r="M126" s="405">
        <v>556530.05000000005</v>
      </c>
      <c r="N126" s="405">
        <v>-128026.05000000005</v>
      </c>
      <c r="O126" s="408" t="s">
        <v>12</v>
      </c>
    </row>
    <row r="127" spans="2:15" s="401" customFormat="1" ht="18" customHeight="1">
      <c r="B127" s="404" t="s">
        <v>384</v>
      </c>
      <c r="C127" s="404" t="s">
        <v>365</v>
      </c>
      <c r="D127" s="404" t="s">
        <v>369</v>
      </c>
      <c r="E127" s="404"/>
      <c r="F127" s="405">
        <v>2097497</v>
      </c>
      <c r="G127" s="404"/>
      <c r="H127" s="405">
        <v>686042</v>
      </c>
      <c r="I127" s="405">
        <v>1019474.5</v>
      </c>
      <c r="J127" s="405">
        <v>-333432.5</v>
      </c>
      <c r="K127" s="404"/>
      <c r="L127" s="405">
        <v>1048750</v>
      </c>
      <c r="M127" s="405">
        <v>1382165.0399999996</v>
      </c>
      <c r="N127" s="405">
        <v>-333415.03999999957</v>
      </c>
      <c r="O127" s="408" t="s">
        <v>12</v>
      </c>
    </row>
    <row r="128" spans="2:15" s="401" customFormat="1" ht="18" customHeight="1">
      <c r="B128" s="404" t="s">
        <v>362</v>
      </c>
      <c r="C128" s="404" t="s">
        <v>365</v>
      </c>
      <c r="D128" s="404" t="s">
        <v>370</v>
      </c>
      <c r="E128" s="404"/>
      <c r="F128" s="405">
        <v>-276782.76</v>
      </c>
      <c r="G128" s="404"/>
      <c r="H128" s="405">
        <v>-138397.42000000001</v>
      </c>
      <c r="I128" s="405">
        <v>477579.09</v>
      </c>
      <c r="J128" s="405">
        <v>-615976.51</v>
      </c>
      <c r="K128" s="404"/>
      <c r="L128" s="405">
        <v>-138397.42000000001</v>
      </c>
      <c r="M128" s="405">
        <v>477578.6</v>
      </c>
      <c r="N128" s="405">
        <v>-615976.02</v>
      </c>
      <c r="O128" s="408" t="s">
        <v>12</v>
      </c>
    </row>
    <row r="129" spans="2:15" s="401" customFormat="1" ht="18" customHeight="1">
      <c r="B129" s="404" t="s">
        <v>383</v>
      </c>
      <c r="C129" s="404" t="s">
        <v>365</v>
      </c>
      <c r="D129" s="404" t="s">
        <v>370</v>
      </c>
      <c r="E129" s="404"/>
      <c r="F129" s="405">
        <v>0</v>
      </c>
      <c r="G129" s="404"/>
      <c r="H129" s="405">
        <v>0</v>
      </c>
      <c r="I129" s="405">
        <v>-23743.030000000002</v>
      </c>
      <c r="J129" s="405">
        <v>23743.030000000002</v>
      </c>
      <c r="K129" s="404"/>
      <c r="L129" s="405">
        <v>208000</v>
      </c>
      <c r="M129" s="405">
        <v>216267.93999999994</v>
      </c>
      <c r="N129" s="405">
        <v>-8267.9399999999441</v>
      </c>
      <c r="O129" s="407" t="s">
        <v>149</v>
      </c>
    </row>
    <row r="130" spans="2:15" s="401" customFormat="1" ht="18" customHeight="1">
      <c r="B130" s="404" t="s">
        <v>384</v>
      </c>
      <c r="C130" s="404" t="s">
        <v>365</v>
      </c>
      <c r="D130" s="404" t="s">
        <v>370</v>
      </c>
      <c r="E130" s="404"/>
      <c r="F130" s="405">
        <v>1685162.86</v>
      </c>
      <c r="G130" s="404"/>
      <c r="H130" s="405">
        <v>33401.879999999997</v>
      </c>
      <c r="I130" s="405">
        <v>253032.90999999997</v>
      </c>
      <c r="J130" s="405">
        <v>-219631.02999999997</v>
      </c>
      <c r="K130" s="404"/>
      <c r="L130" s="405">
        <v>33401.879999999997</v>
      </c>
      <c r="M130" s="405">
        <v>253032.56999999998</v>
      </c>
      <c r="N130" s="405">
        <v>-219630.68999999997</v>
      </c>
      <c r="O130" s="408" t="s">
        <v>12</v>
      </c>
    </row>
  </sheetData>
  <sortState ref="B108:O130">
    <sortCondition ref="D108:D130"/>
  </sortState>
  <customSheetViews>
    <customSheetView guid="{14394872-1C6D-42D5-AD0E-8F152B5DEE00}">
      <selection activeCell="N4" sqref="N1:N1048576"/>
      <pageMargins left="0.7" right="0.7" top="0.75" bottom="0.75" header="0.3" footer="0.3"/>
    </customSheetView>
  </customSheetViews>
  <mergeCells count="9">
    <mergeCell ref="C70:O70"/>
    <mergeCell ref="C71:O71"/>
    <mergeCell ref="C72:O72"/>
    <mergeCell ref="C1:O1"/>
    <mergeCell ref="C2:O2"/>
    <mergeCell ref="C3:O3"/>
    <mergeCell ref="C37:O37"/>
    <mergeCell ref="C38:O38"/>
    <mergeCell ref="C39:O39"/>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2" enableFormatConditionsCalculation="0">
    <tabColor indexed="46"/>
    <pageSetUpPr fitToPage="1"/>
  </sheetPr>
  <dimension ref="A1:S171"/>
  <sheetViews>
    <sheetView topLeftCell="D44" workbookViewId="0">
      <selection activeCell="D55" sqref="D55"/>
    </sheetView>
  </sheetViews>
  <sheetFormatPr defaultRowHeight="12.75"/>
  <cols>
    <col min="1" max="1" width="18.140625" style="179" customWidth="1"/>
    <col min="2" max="2" width="11.28515625" style="179" customWidth="1"/>
    <col min="3" max="3" width="10.85546875" style="179" customWidth="1"/>
    <col min="4" max="4" width="41.85546875" style="179" bestFit="1" customWidth="1"/>
    <col min="5" max="5" width="2.42578125" style="179" customWidth="1"/>
    <col min="6" max="6" width="16.5703125" style="179" bestFit="1" customWidth="1"/>
    <col min="7" max="7" width="2.28515625" style="179" customWidth="1"/>
    <col min="8" max="8" width="13.5703125" style="179" bestFit="1" customWidth="1"/>
    <col min="9" max="9" width="16.28515625" style="179" bestFit="1" customWidth="1"/>
    <col min="10" max="10" width="15.85546875" style="179" bestFit="1" customWidth="1"/>
    <col min="11" max="11" width="2.42578125" style="179" customWidth="1"/>
    <col min="12" max="12" width="22.85546875" style="179" bestFit="1" customWidth="1"/>
    <col min="13" max="13" width="16.28515625" style="179" customWidth="1"/>
    <col min="14" max="14" width="11.85546875" style="179" bestFit="1" customWidth="1"/>
    <col min="15" max="16384" width="9.140625" style="179"/>
  </cols>
  <sheetData>
    <row r="1" spans="1:15">
      <c r="B1" s="380"/>
      <c r="C1" s="380"/>
      <c r="D1" s="380"/>
      <c r="E1" s="386"/>
      <c r="F1" s="386"/>
      <c r="G1" s="386"/>
      <c r="H1" s="384"/>
      <c r="I1" s="384"/>
    </row>
    <row r="2" spans="1:15">
      <c r="B2" s="380"/>
      <c r="C2" s="380"/>
      <c r="D2" s="380"/>
      <c r="E2" s="386"/>
      <c r="F2" s="386"/>
      <c r="G2" s="386"/>
      <c r="H2" s="384"/>
      <c r="I2" s="384"/>
    </row>
    <row r="3" spans="1:15">
      <c r="B3" s="381"/>
      <c r="C3" s="381"/>
      <c r="D3" s="385"/>
      <c r="E3" s="387"/>
      <c r="F3" s="387"/>
      <c r="G3" s="387"/>
      <c r="H3" s="385"/>
      <c r="I3" s="385"/>
      <c r="J3" s="383"/>
      <c r="K3" s="383"/>
      <c r="M3" s="383"/>
    </row>
    <row r="4" spans="1:15">
      <c r="A4" s="383" t="s">
        <v>359</v>
      </c>
      <c r="D4" s="388"/>
      <c r="E4" s="388"/>
      <c r="F4" s="388"/>
      <c r="G4" s="388"/>
      <c r="H4" s="388"/>
      <c r="I4" s="383"/>
      <c r="J4" s="383"/>
      <c r="L4" s="383"/>
    </row>
    <row r="5" spans="1:15">
      <c r="A5" s="383" t="s">
        <v>360</v>
      </c>
      <c r="D5" s="382"/>
      <c r="E5" s="382"/>
      <c r="F5" s="382"/>
      <c r="G5" s="382"/>
      <c r="H5" s="382"/>
      <c r="I5" s="383"/>
      <c r="J5" s="383"/>
      <c r="L5" s="383"/>
    </row>
    <row r="6" spans="1:15">
      <c r="A6" s="383" t="s">
        <v>385</v>
      </c>
      <c r="C6" s="383"/>
      <c r="F6" s="383"/>
      <c r="G6" s="383"/>
      <c r="H6" s="383"/>
      <c r="J6" s="383"/>
    </row>
    <row r="7" spans="1:15">
      <c r="A7" s="179" t="s">
        <v>113</v>
      </c>
      <c r="B7" s="179" t="s">
        <v>190</v>
      </c>
      <c r="C7" s="179" t="s">
        <v>120</v>
      </c>
      <c r="D7" s="179" t="s">
        <v>121</v>
      </c>
      <c r="F7" s="179" t="s">
        <v>114</v>
      </c>
      <c r="H7" s="179" t="s">
        <v>115</v>
      </c>
      <c r="I7" s="179" t="s">
        <v>116</v>
      </c>
      <c r="J7" s="179" t="s">
        <v>118</v>
      </c>
      <c r="L7" s="179" t="s">
        <v>117</v>
      </c>
      <c r="M7" s="179" t="s">
        <v>109</v>
      </c>
      <c r="N7" s="179" t="s">
        <v>72</v>
      </c>
      <c r="O7" s="179" t="s">
        <v>157</v>
      </c>
    </row>
    <row r="8" spans="1:15">
      <c r="A8" s="380" t="s">
        <v>376</v>
      </c>
      <c r="B8" s="380" t="s">
        <v>426</v>
      </c>
      <c r="C8" s="380" t="s">
        <v>429</v>
      </c>
      <c r="D8" s="380" t="s">
        <v>430</v>
      </c>
      <c r="E8" s="380"/>
      <c r="F8" s="380">
        <v>-5518000</v>
      </c>
      <c r="G8" s="380"/>
      <c r="H8" s="380">
        <v>-845083</v>
      </c>
      <c r="I8" s="380">
        <v>0</v>
      </c>
      <c r="J8" s="380">
        <v>-845083</v>
      </c>
      <c r="K8" s="380"/>
      <c r="L8" s="380">
        <v>-1500584</v>
      </c>
      <c r="M8" s="380">
        <v>0</v>
      </c>
      <c r="N8" s="179">
        <v>-1500584</v>
      </c>
      <c r="O8" s="179" t="s">
        <v>12</v>
      </c>
    </row>
    <row r="9" spans="1:15">
      <c r="A9" s="380" t="s">
        <v>376</v>
      </c>
      <c r="B9" s="380" t="s">
        <v>386</v>
      </c>
      <c r="C9" s="380" t="s">
        <v>131</v>
      </c>
      <c r="D9" s="380" t="s">
        <v>413</v>
      </c>
      <c r="E9" s="380"/>
      <c r="F9" s="380">
        <v>91696894</v>
      </c>
      <c r="G9" s="380"/>
      <c r="H9" s="380">
        <v>7641408</v>
      </c>
      <c r="I9" s="380">
        <v>6708908</v>
      </c>
      <c r="J9" s="380">
        <v>932500</v>
      </c>
      <c r="K9" s="380"/>
      <c r="L9" s="380">
        <v>45547101</v>
      </c>
      <c r="M9" s="380">
        <v>46797101</v>
      </c>
      <c r="N9" s="415">
        <v>-1250000</v>
      </c>
      <c r="O9" s="179" t="s">
        <v>12</v>
      </c>
    </row>
    <row r="10" spans="1:15">
      <c r="A10" s="380" t="s">
        <v>376</v>
      </c>
      <c r="B10" s="380" t="s">
        <v>426</v>
      </c>
      <c r="C10" s="380" t="s">
        <v>141</v>
      </c>
      <c r="D10" s="380" t="s">
        <v>142</v>
      </c>
      <c r="E10" s="380"/>
      <c r="F10" s="380">
        <v>-4642344</v>
      </c>
      <c r="G10" s="380"/>
      <c r="H10" s="380">
        <v>-614750</v>
      </c>
      <c r="I10" s="380">
        <v>0</v>
      </c>
      <c r="J10" s="380">
        <v>-614750</v>
      </c>
      <c r="K10" s="380"/>
      <c r="L10" s="380">
        <v>-614750</v>
      </c>
      <c r="M10" s="380">
        <v>0</v>
      </c>
      <c r="N10" s="179">
        <v>-614750</v>
      </c>
      <c r="O10" s="179" t="s">
        <v>12</v>
      </c>
    </row>
    <row r="11" spans="1:15">
      <c r="A11" s="380" t="s">
        <v>376</v>
      </c>
      <c r="B11" s="380" t="s">
        <v>386</v>
      </c>
      <c r="C11" s="380" t="s">
        <v>391</v>
      </c>
      <c r="D11" s="380" t="s">
        <v>122</v>
      </c>
      <c r="E11" s="380"/>
      <c r="F11" s="380">
        <v>11256349</v>
      </c>
      <c r="G11" s="380"/>
      <c r="H11" s="380">
        <v>938029</v>
      </c>
      <c r="I11" s="380">
        <v>1000330</v>
      </c>
      <c r="J11" s="380">
        <v>-62301</v>
      </c>
      <c r="K11" s="380"/>
      <c r="L11" s="380">
        <v>5602364</v>
      </c>
      <c r="M11" s="380">
        <v>6068748</v>
      </c>
      <c r="N11" s="415">
        <v>-466384</v>
      </c>
      <c r="O11" s="179" t="s">
        <v>12</v>
      </c>
    </row>
    <row r="12" spans="1:15">
      <c r="A12" s="380" t="s">
        <v>376</v>
      </c>
      <c r="B12" s="380" t="s">
        <v>386</v>
      </c>
      <c r="C12" s="380" t="s">
        <v>135</v>
      </c>
      <c r="D12" s="380" t="s">
        <v>414</v>
      </c>
      <c r="E12" s="380"/>
      <c r="F12" s="380">
        <v>8371016</v>
      </c>
      <c r="G12" s="380"/>
      <c r="H12" s="380">
        <v>697585</v>
      </c>
      <c r="I12" s="380">
        <v>742746</v>
      </c>
      <c r="J12" s="380">
        <v>-45161</v>
      </c>
      <c r="K12" s="380"/>
      <c r="L12" s="380">
        <v>4197307</v>
      </c>
      <c r="M12" s="380">
        <v>4636766</v>
      </c>
      <c r="N12" s="415">
        <v>-439459</v>
      </c>
      <c r="O12" s="179" t="s">
        <v>12</v>
      </c>
    </row>
    <row r="13" spans="1:15">
      <c r="A13" s="380" t="s">
        <v>376</v>
      </c>
      <c r="B13" s="380" t="s">
        <v>386</v>
      </c>
      <c r="C13" s="380" t="s">
        <v>166</v>
      </c>
      <c r="D13" s="380" t="s">
        <v>403</v>
      </c>
      <c r="E13" s="380"/>
      <c r="F13" s="380">
        <v>9408513</v>
      </c>
      <c r="G13" s="380"/>
      <c r="H13" s="380">
        <v>784043</v>
      </c>
      <c r="I13" s="380">
        <v>885137</v>
      </c>
      <c r="J13" s="380">
        <v>-101094</v>
      </c>
      <c r="K13" s="380"/>
      <c r="L13" s="380">
        <v>4704257</v>
      </c>
      <c r="M13" s="380">
        <v>4859818</v>
      </c>
      <c r="N13" s="415">
        <v>-155562</v>
      </c>
      <c r="O13" s="179" t="s">
        <v>12</v>
      </c>
    </row>
    <row r="14" spans="1:15">
      <c r="A14" s="380" t="s">
        <v>376</v>
      </c>
      <c r="B14" s="380" t="s">
        <v>386</v>
      </c>
      <c r="C14" s="380" t="s">
        <v>129</v>
      </c>
      <c r="D14" s="380" t="s">
        <v>409</v>
      </c>
      <c r="E14" s="380"/>
      <c r="F14" s="380">
        <v>2346925</v>
      </c>
      <c r="G14" s="380"/>
      <c r="H14" s="380">
        <v>195577</v>
      </c>
      <c r="I14" s="380">
        <v>223987</v>
      </c>
      <c r="J14" s="380">
        <v>-28410</v>
      </c>
      <c r="K14" s="380"/>
      <c r="L14" s="380">
        <v>1190362</v>
      </c>
      <c r="M14" s="380">
        <v>1343920</v>
      </c>
      <c r="N14" s="179">
        <v>-153558</v>
      </c>
      <c r="O14" s="179" t="s">
        <v>12</v>
      </c>
    </row>
    <row r="15" spans="1:15">
      <c r="A15" s="380" t="s">
        <v>376</v>
      </c>
      <c r="B15" s="380" t="s">
        <v>386</v>
      </c>
      <c r="C15" s="380" t="s">
        <v>138</v>
      </c>
      <c r="D15" s="380" t="s">
        <v>395</v>
      </c>
      <c r="E15" s="380"/>
      <c r="F15" s="380">
        <v>6053936</v>
      </c>
      <c r="G15" s="380"/>
      <c r="H15" s="380">
        <v>504495</v>
      </c>
      <c r="I15" s="380">
        <v>529544</v>
      </c>
      <c r="J15" s="380">
        <v>-25049</v>
      </c>
      <c r="K15" s="380"/>
      <c r="L15" s="380">
        <v>2953001</v>
      </c>
      <c r="M15" s="380">
        <v>3105263</v>
      </c>
      <c r="N15" s="179">
        <v>-152262</v>
      </c>
      <c r="O15" s="179" t="s">
        <v>12</v>
      </c>
    </row>
    <row r="16" spans="1:15">
      <c r="A16" s="380" t="s">
        <v>376</v>
      </c>
      <c r="B16" s="380" t="s">
        <v>386</v>
      </c>
      <c r="C16" s="380" t="s">
        <v>127</v>
      </c>
      <c r="D16" s="380" t="s">
        <v>422</v>
      </c>
      <c r="E16" s="380"/>
      <c r="F16" s="380">
        <v>709566</v>
      </c>
      <c r="G16" s="380"/>
      <c r="H16" s="380">
        <v>59131</v>
      </c>
      <c r="I16" s="380">
        <v>73872</v>
      </c>
      <c r="J16" s="380">
        <v>-14741</v>
      </c>
      <c r="K16" s="380"/>
      <c r="L16" s="380">
        <v>347597</v>
      </c>
      <c r="M16" s="380">
        <v>443230</v>
      </c>
      <c r="N16" s="179">
        <v>-95633</v>
      </c>
      <c r="O16" s="179" t="s">
        <v>149</v>
      </c>
    </row>
    <row r="17" spans="1:15">
      <c r="A17" s="380" t="s">
        <v>376</v>
      </c>
      <c r="B17" s="380" t="s">
        <v>386</v>
      </c>
      <c r="C17" s="380" t="s">
        <v>199</v>
      </c>
      <c r="D17" s="380" t="s">
        <v>404</v>
      </c>
      <c r="E17" s="380"/>
      <c r="F17" s="380">
        <v>379137</v>
      </c>
      <c r="G17" s="380"/>
      <c r="H17" s="380">
        <v>31595</v>
      </c>
      <c r="I17" s="380">
        <v>40954</v>
      </c>
      <c r="J17" s="380">
        <v>-9359</v>
      </c>
      <c r="K17" s="380"/>
      <c r="L17" s="380">
        <v>186271</v>
      </c>
      <c r="M17" s="380">
        <v>245722</v>
      </c>
      <c r="N17" s="179">
        <v>-59451</v>
      </c>
      <c r="O17" s="179" t="s">
        <v>149</v>
      </c>
    </row>
    <row r="18" spans="1:15">
      <c r="A18" s="380" t="s">
        <v>376</v>
      </c>
      <c r="B18" s="380" t="s">
        <v>386</v>
      </c>
      <c r="C18" s="380" t="s">
        <v>137</v>
      </c>
      <c r="D18" s="380" t="s">
        <v>393</v>
      </c>
      <c r="E18" s="380"/>
      <c r="F18" s="380">
        <v>2303852</v>
      </c>
      <c r="G18" s="380"/>
      <c r="H18" s="380">
        <v>191988</v>
      </c>
      <c r="I18" s="380">
        <v>200257</v>
      </c>
      <c r="J18" s="380">
        <v>-8269</v>
      </c>
      <c r="K18" s="380"/>
      <c r="L18" s="380">
        <v>1162222</v>
      </c>
      <c r="M18" s="380">
        <v>1201541</v>
      </c>
      <c r="N18" s="179">
        <v>-39319</v>
      </c>
      <c r="O18" s="179" t="s">
        <v>149</v>
      </c>
    </row>
    <row r="19" spans="1:15">
      <c r="A19" s="380" t="s">
        <v>376</v>
      </c>
      <c r="B19" s="380" t="s">
        <v>386</v>
      </c>
      <c r="C19" s="380" t="s">
        <v>396</v>
      </c>
      <c r="D19" s="380" t="s">
        <v>397</v>
      </c>
      <c r="E19" s="380"/>
      <c r="F19" s="380">
        <v>13542</v>
      </c>
      <c r="G19" s="380"/>
      <c r="H19" s="380">
        <v>1129</v>
      </c>
      <c r="I19" s="380">
        <v>7158</v>
      </c>
      <c r="J19" s="380">
        <v>-6029</v>
      </c>
      <c r="K19" s="380"/>
      <c r="L19" s="380">
        <v>6772</v>
      </c>
      <c r="M19" s="380">
        <v>42948</v>
      </c>
      <c r="N19" s="179">
        <v>-36176</v>
      </c>
      <c r="O19" s="179" t="s">
        <v>149</v>
      </c>
    </row>
    <row r="20" spans="1:15">
      <c r="A20" s="380" t="s">
        <v>376</v>
      </c>
      <c r="B20" s="380" t="s">
        <v>386</v>
      </c>
      <c r="C20" s="380" t="s">
        <v>136</v>
      </c>
      <c r="D20" s="380" t="s">
        <v>399</v>
      </c>
      <c r="E20" s="380"/>
      <c r="F20" s="380">
        <v>8917247</v>
      </c>
      <c r="G20" s="380"/>
      <c r="H20" s="380">
        <v>743104</v>
      </c>
      <c r="I20" s="380">
        <v>641462</v>
      </c>
      <c r="J20" s="380">
        <v>101642</v>
      </c>
      <c r="K20" s="380"/>
      <c r="L20" s="380">
        <v>4347430</v>
      </c>
      <c r="M20" s="380">
        <v>4370283</v>
      </c>
      <c r="N20" s="179">
        <v>-22853</v>
      </c>
      <c r="O20" s="179" t="s">
        <v>149</v>
      </c>
    </row>
    <row r="21" spans="1:15">
      <c r="A21" s="380" t="s">
        <v>376</v>
      </c>
      <c r="B21" s="380" t="s">
        <v>386</v>
      </c>
      <c r="C21" s="380" t="s">
        <v>407</v>
      </c>
      <c r="D21" s="380" t="s">
        <v>408</v>
      </c>
      <c r="E21" s="380"/>
      <c r="F21" s="380">
        <v>0</v>
      </c>
      <c r="G21" s="380"/>
      <c r="H21" s="380">
        <v>0</v>
      </c>
      <c r="I21" s="380">
        <v>7381</v>
      </c>
      <c r="J21" s="380">
        <v>-7381</v>
      </c>
      <c r="K21" s="380"/>
      <c r="L21" s="380">
        <v>0</v>
      </c>
      <c r="M21" s="380">
        <v>7381</v>
      </c>
      <c r="N21" s="179">
        <v>-7381</v>
      </c>
      <c r="O21" s="179" t="s">
        <v>149</v>
      </c>
    </row>
    <row r="22" spans="1:15">
      <c r="A22" s="380" t="s">
        <v>376</v>
      </c>
      <c r="B22" s="380" t="s">
        <v>386</v>
      </c>
      <c r="C22" s="380" t="s">
        <v>400</v>
      </c>
      <c r="D22" s="380" t="s">
        <v>401</v>
      </c>
      <c r="E22" s="380"/>
      <c r="F22" s="380">
        <v>50835</v>
      </c>
      <c r="G22" s="380"/>
      <c r="H22" s="380">
        <v>4236</v>
      </c>
      <c r="I22" s="380">
        <v>5657</v>
      </c>
      <c r="J22" s="380">
        <v>-1421</v>
      </c>
      <c r="K22" s="380"/>
      <c r="L22" s="380">
        <v>27610</v>
      </c>
      <c r="M22" s="380">
        <v>33941</v>
      </c>
      <c r="N22" s="179">
        <v>-6331</v>
      </c>
      <c r="O22" s="179" t="s">
        <v>149</v>
      </c>
    </row>
    <row r="23" spans="1:15">
      <c r="A23" s="380" t="s">
        <v>376</v>
      </c>
      <c r="B23" s="380" t="s">
        <v>386</v>
      </c>
      <c r="C23" s="380" t="s">
        <v>405</v>
      </c>
      <c r="D23" s="380" t="s">
        <v>406</v>
      </c>
      <c r="E23" s="380"/>
      <c r="F23" s="380">
        <v>0</v>
      </c>
      <c r="G23" s="380"/>
      <c r="H23" s="380">
        <v>0</v>
      </c>
      <c r="I23" s="380">
        <v>4300</v>
      </c>
      <c r="J23" s="380">
        <v>-4300</v>
      </c>
      <c r="K23" s="380"/>
      <c r="L23" s="380">
        <v>0</v>
      </c>
      <c r="M23" s="380">
        <v>4300</v>
      </c>
      <c r="N23" s="179">
        <v>-4300</v>
      </c>
      <c r="O23" s="179" t="s">
        <v>149</v>
      </c>
    </row>
    <row r="24" spans="1:15">
      <c r="A24" s="380" t="s">
        <v>376</v>
      </c>
      <c r="B24" s="380" t="s">
        <v>386</v>
      </c>
      <c r="C24" s="380" t="s">
        <v>188</v>
      </c>
      <c r="D24" s="380" t="s">
        <v>189</v>
      </c>
      <c r="E24" s="380"/>
      <c r="F24" s="380">
        <v>0</v>
      </c>
      <c r="G24" s="380"/>
      <c r="H24" s="380">
        <v>1</v>
      </c>
      <c r="I24" s="380">
        <v>48</v>
      </c>
      <c r="J24" s="380">
        <v>-46</v>
      </c>
      <c r="K24" s="380"/>
      <c r="L24" s="380">
        <v>0</v>
      </c>
      <c r="M24" s="380">
        <v>47</v>
      </c>
      <c r="N24" s="179">
        <v>-47</v>
      </c>
      <c r="O24" s="179" t="s">
        <v>149</v>
      </c>
    </row>
    <row r="25" spans="1:15">
      <c r="A25" s="380" t="s">
        <v>376</v>
      </c>
      <c r="B25" s="380" t="s">
        <v>386</v>
      </c>
      <c r="C25" s="380" t="s">
        <v>125</v>
      </c>
      <c r="D25" s="380" t="s">
        <v>421</v>
      </c>
      <c r="E25" s="380"/>
      <c r="F25" s="380">
        <v>23608231</v>
      </c>
      <c r="G25" s="380"/>
      <c r="H25" s="380">
        <v>1967353</v>
      </c>
      <c r="I25" s="380">
        <v>1967353</v>
      </c>
      <c r="J25" s="380">
        <v>0</v>
      </c>
      <c r="K25" s="380"/>
      <c r="L25" s="380">
        <v>11672522</v>
      </c>
      <c r="M25" s="380">
        <v>11672523</v>
      </c>
      <c r="N25" s="179">
        <v>-1</v>
      </c>
      <c r="O25" s="179" t="s">
        <v>149</v>
      </c>
    </row>
    <row r="26" spans="1:15">
      <c r="A26" s="380" t="s">
        <v>376</v>
      </c>
      <c r="B26" s="380" t="s">
        <v>386</v>
      </c>
      <c r="C26" s="380" t="s">
        <v>387</v>
      </c>
      <c r="D26" s="380" t="s">
        <v>388</v>
      </c>
      <c r="E26" s="380"/>
      <c r="F26" s="380">
        <v>0</v>
      </c>
      <c r="G26" s="380"/>
      <c r="H26" s="380">
        <v>0</v>
      </c>
      <c r="I26" s="380">
        <v>0</v>
      </c>
      <c r="J26" s="380">
        <v>0</v>
      </c>
      <c r="K26" s="380"/>
      <c r="L26" s="380">
        <v>0</v>
      </c>
      <c r="M26" s="380">
        <v>0</v>
      </c>
      <c r="N26" s="179">
        <v>0</v>
      </c>
      <c r="O26" s="179" t="s">
        <v>149</v>
      </c>
    </row>
    <row r="27" spans="1:15">
      <c r="A27" s="380" t="s">
        <v>376</v>
      </c>
      <c r="B27" s="380" t="s">
        <v>386</v>
      </c>
      <c r="C27" s="380" t="s">
        <v>389</v>
      </c>
      <c r="D27" s="380" t="s">
        <v>390</v>
      </c>
      <c r="E27" s="380"/>
      <c r="F27" s="380">
        <v>0</v>
      </c>
      <c r="G27" s="380"/>
      <c r="H27" s="380">
        <v>0</v>
      </c>
      <c r="I27" s="380">
        <v>0</v>
      </c>
      <c r="J27" s="380">
        <v>0</v>
      </c>
      <c r="K27" s="380"/>
      <c r="L27" s="380">
        <v>0</v>
      </c>
      <c r="M27" s="380">
        <v>0</v>
      </c>
      <c r="N27" s="179">
        <v>0</v>
      </c>
      <c r="O27" s="179" t="s">
        <v>90</v>
      </c>
    </row>
    <row r="28" spans="1:15">
      <c r="A28" s="380" t="s">
        <v>376</v>
      </c>
      <c r="B28" s="380" t="s">
        <v>386</v>
      </c>
      <c r="C28" s="380" t="s">
        <v>419</v>
      </c>
      <c r="D28" s="380" t="s">
        <v>420</v>
      </c>
      <c r="E28" s="380"/>
      <c r="F28" s="380">
        <v>0</v>
      </c>
      <c r="G28" s="380"/>
      <c r="H28" s="380">
        <v>0</v>
      </c>
      <c r="I28" s="380">
        <v>0</v>
      </c>
      <c r="J28" s="380">
        <v>0</v>
      </c>
      <c r="K28" s="380"/>
      <c r="L28" s="380">
        <v>0</v>
      </c>
      <c r="M28" s="380">
        <v>0</v>
      </c>
      <c r="N28" s="179">
        <v>0</v>
      </c>
      <c r="O28" s="179" t="s">
        <v>149</v>
      </c>
    </row>
    <row r="29" spans="1:15">
      <c r="A29" s="380" t="s">
        <v>376</v>
      </c>
      <c r="B29" s="380" t="s">
        <v>386</v>
      </c>
      <c r="C29" s="380" t="s">
        <v>123</v>
      </c>
      <c r="D29" s="380" t="s">
        <v>124</v>
      </c>
      <c r="E29" s="380"/>
      <c r="F29" s="380">
        <v>90309966</v>
      </c>
      <c r="G29" s="380"/>
      <c r="H29" s="380">
        <v>7525831</v>
      </c>
      <c r="I29" s="380">
        <v>7525831</v>
      </c>
      <c r="J29" s="380">
        <v>0</v>
      </c>
      <c r="K29" s="380"/>
      <c r="L29" s="380">
        <v>44978215</v>
      </c>
      <c r="M29" s="380">
        <v>44978215</v>
      </c>
      <c r="N29" s="179">
        <v>0</v>
      </c>
      <c r="O29" s="179" t="s">
        <v>90</v>
      </c>
    </row>
    <row r="30" spans="1:15">
      <c r="A30" s="380" t="s">
        <v>376</v>
      </c>
      <c r="B30" s="380" t="s">
        <v>423</v>
      </c>
      <c r="C30" s="380" t="s">
        <v>188</v>
      </c>
      <c r="D30" s="380" t="s">
        <v>189</v>
      </c>
      <c r="E30" s="380"/>
      <c r="F30" s="380">
        <v>0</v>
      </c>
      <c r="G30" s="380"/>
      <c r="H30" s="380">
        <v>-34630</v>
      </c>
      <c r="I30" s="380">
        <v>-34630</v>
      </c>
      <c r="J30" s="380">
        <v>0</v>
      </c>
      <c r="K30" s="380"/>
      <c r="L30" s="380">
        <v>0</v>
      </c>
      <c r="M30" s="380">
        <v>0</v>
      </c>
      <c r="N30" s="179">
        <v>0</v>
      </c>
      <c r="O30" s="179" t="s">
        <v>149</v>
      </c>
    </row>
    <row r="31" spans="1:15">
      <c r="A31" s="380" t="s">
        <v>376</v>
      </c>
      <c r="B31" s="380" t="s">
        <v>423</v>
      </c>
      <c r="C31" s="380" t="s">
        <v>186</v>
      </c>
      <c r="D31" s="380" t="s">
        <v>187</v>
      </c>
      <c r="E31" s="380"/>
      <c r="F31" s="380">
        <v>83110</v>
      </c>
      <c r="G31" s="380"/>
      <c r="H31" s="380">
        <v>41555</v>
      </c>
      <c r="I31" s="380">
        <v>41555</v>
      </c>
      <c r="J31" s="380">
        <v>0</v>
      </c>
      <c r="K31" s="380"/>
      <c r="L31" s="380">
        <v>41555</v>
      </c>
      <c r="M31" s="380">
        <v>41555</v>
      </c>
      <c r="N31" s="179">
        <v>0</v>
      </c>
      <c r="O31" s="179" t="s">
        <v>149</v>
      </c>
    </row>
    <row r="32" spans="1:15">
      <c r="A32" s="380" t="s">
        <v>376</v>
      </c>
      <c r="B32" s="380" t="s">
        <v>424</v>
      </c>
      <c r="C32" s="380" t="s">
        <v>188</v>
      </c>
      <c r="D32" s="380" t="s">
        <v>189</v>
      </c>
      <c r="E32" s="380"/>
      <c r="F32" s="380">
        <v>0</v>
      </c>
      <c r="G32" s="380"/>
      <c r="H32" s="380">
        <v>-4091600</v>
      </c>
      <c r="I32" s="380">
        <v>-3335775</v>
      </c>
      <c r="J32" s="380">
        <v>-755825</v>
      </c>
      <c r="K32" s="380"/>
      <c r="L32" s="380">
        <v>0</v>
      </c>
      <c r="M32" s="380">
        <v>0</v>
      </c>
      <c r="N32" s="179">
        <v>0</v>
      </c>
      <c r="O32" s="179" t="s">
        <v>90</v>
      </c>
    </row>
    <row r="33" spans="1:15">
      <c r="A33" s="380" t="s">
        <v>376</v>
      </c>
      <c r="B33" s="380" t="s">
        <v>424</v>
      </c>
      <c r="C33" s="380" t="s">
        <v>126</v>
      </c>
      <c r="D33" s="380" t="s">
        <v>425</v>
      </c>
      <c r="E33" s="380"/>
      <c r="F33" s="380">
        <v>9819837</v>
      </c>
      <c r="G33" s="380"/>
      <c r="H33" s="380">
        <v>4909919</v>
      </c>
      <c r="I33" s="380">
        <v>4154094</v>
      </c>
      <c r="J33" s="380">
        <v>755825</v>
      </c>
      <c r="K33" s="380"/>
      <c r="L33" s="380">
        <v>4909919</v>
      </c>
      <c r="M33" s="380">
        <v>4909919</v>
      </c>
      <c r="N33" s="179">
        <v>0</v>
      </c>
      <c r="O33" s="179" t="s">
        <v>149</v>
      </c>
    </row>
    <row r="34" spans="1:15">
      <c r="A34" s="380" t="s">
        <v>376</v>
      </c>
      <c r="B34" s="380" t="s">
        <v>426</v>
      </c>
      <c r="C34" s="380" t="s">
        <v>188</v>
      </c>
      <c r="D34" s="380" t="s">
        <v>189</v>
      </c>
      <c r="E34" s="380"/>
      <c r="F34" s="380">
        <v>0</v>
      </c>
      <c r="G34" s="380"/>
      <c r="H34" s="380">
        <v>0</v>
      </c>
      <c r="I34" s="380">
        <v>0</v>
      </c>
      <c r="J34" s="380">
        <v>0</v>
      </c>
      <c r="K34" s="380"/>
      <c r="L34" s="380">
        <v>0</v>
      </c>
      <c r="M34" s="380">
        <v>0</v>
      </c>
      <c r="N34" s="179">
        <v>0</v>
      </c>
      <c r="O34" s="179" t="s">
        <v>149</v>
      </c>
    </row>
    <row r="35" spans="1:15">
      <c r="A35" s="380" t="s">
        <v>376</v>
      </c>
      <c r="B35" s="380" t="s">
        <v>426</v>
      </c>
      <c r="C35" s="380">
        <v>21661211</v>
      </c>
      <c r="D35" s="380" t="s">
        <v>427</v>
      </c>
      <c r="E35" s="380"/>
      <c r="F35" s="380">
        <v>0</v>
      </c>
      <c r="G35" s="380"/>
      <c r="H35" s="380">
        <v>0</v>
      </c>
      <c r="I35" s="380">
        <v>0</v>
      </c>
      <c r="J35" s="380">
        <v>0</v>
      </c>
      <c r="K35" s="380"/>
      <c r="L35" s="380">
        <v>0</v>
      </c>
      <c r="M35" s="380">
        <v>0</v>
      </c>
      <c r="N35" s="179">
        <v>0</v>
      </c>
      <c r="O35" s="179" t="s">
        <v>90</v>
      </c>
    </row>
    <row r="36" spans="1:15">
      <c r="A36" s="380" t="s">
        <v>376</v>
      </c>
      <c r="B36" s="380" t="s">
        <v>426</v>
      </c>
      <c r="C36" s="380">
        <v>21703834</v>
      </c>
      <c r="D36" s="380" t="s">
        <v>428</v>
      </c>
      <c r="E36" s="380"/>
      <c r="F36" s="380">
        <v>0</v>
      </c>
      <c r="G36" s="380"/>
      <c r="H36" s="380">
        <v>0</v>
      </c>
      <c r="I36" s="380">
        <v>0</v>
      </c>
      <c r="J36" s="380">
        <v>0</v>
      </c>
      <c r="K36" s="380"/>
      <c r="L36" s="380">
        <v>0</v>
      </c>
      <c r="M36" s="380">
        <v>0</v>
      </c>
      <c r="N36" s="179">
        <v>0</v>
      </c>
      <c r="O36" s="179" t="s">
        <v>149</v>
      </c>
    </row>
    <row r="37" spans="1:15">
      <c r="A37" s="380" t="s">
        <v>376</v>
      </c>
      <c r="B37" s="380" t="s">
        <v>431</v>
      </c>
      <c r="C37" s="380" t="s">
        <v>141</v>
      </c>
      <c r="D37" s="380" t="s">
        <v>142</v>
      </c>
      <c r="E37" s="380"/>
      <c r="F37" s="380">
        <v>0</v>
      </c>
      <c r="G37" s="380"/>
      <c r="H37" s="380">
        <v>0</v>
      </c>
      <c r="I37" s="380">
        <v>0</v>
      </c>
      <c r="J37" s="380">
        <v>0</v>
      </c>
      <c r="K37" s="380"/>
      <c r="L37" s="380">
        <v>0</v>
      </c>
      <c r="M37" s="380">
        <v>0</v>
      </c>
      <c r="N37" s="179">
        <v>0</v>
      </c>
      <c r="O37" s="179" t="s">
        <v>149</v>
      </c>
    </row>
    <row r="38" spans="1:15">
      <c r="A38" s="380" t="s">
        <v>376</v>
      </c>
      <c r="B38" s="380" t="s">
        <v>386</v>
      </c>
      <c r="C38" s="380" t="s">
        <v>134</v>
      </c>
      <c r="D38" s="380" t="s">
        <v>392</v>
      </c>
      <c r="E38" s="380"/>
      <c r="F38" s="380">
        <v>500303</v>
      </c>
      <c r="G38" s="380"/>
      <c r="H38" s="380">
        <v>41692</v>
      </c>
      <c r="I38" s="380">
        <v>38539</v>
      </c>
      <c r="J38" s="380">
        <v>3153</v>
      </c>
      <c r="K38" s="380"/>
      <c r="L38" s="380">
        <v>250249</v>
      </c>
      <c r="M38" s="380">
        <v>231235</v>
      </c>
      <c r="N38" s="179">
        <v>19014</v>
      </c>
      <c r="O38" s="179" t="s">
        <v>90</v>
      </c>
    </row>
    <row r="39" spans="1:15">
      <c r="A39" s="380" t="s">
        <v>376</v>
      </c>
      <c r="B39" s="380" t="s">
        <v>386</v>
      </c>
      <c r="C39" s="380" t="s">
        <v>167</v>
      </c>
      <c r="D39" s="380" t="s">
        <v>416</v>
      </c>
      <c r="E39" s="380"/>
      <c r="F39" s="380">
        <v>297471</v>
      </c>
      <c r="G39" s="380"/>
      <c r="H39" s="380">
        <v>24789</v>
      </c>
      <c r="I39" s="380">
        <v>19582</v>
      </c>
      <c r="J39" s="380">
        <v>5207</v>
      </c>
      <c r="K39" s="380"/>
      <c r="L39" s="380">
        <v>147415</v>
      </c>
      <c r="M39" s="380">
        <v>117493</v>
      </c>
      <c r="N39" s="179">
        <v>29922</v>
      </c>
      <c r="O39" s="179" t="s">
        <v>90</v>
      </c>
    </row>
    <row r="40" spans="1:15">
      <c r="A40" s="380" t="s">
        <v>376</v>
      </c>
      <c r="B40" s="380" t="s">
        <v>386</v>
      </c>
      <c r="C40" s="380" t="s">
        <v>133</v>
      </c>
      <c r="D40" s="380" t="s">
        <v>410</v>
      </c>
      <c r="E40" s="380"/>
      <c r="F40" s="380">
        <v>1429079</v>
      </c>
      <c r="G40" s="380"/>
      <c r="H40" s="380">
        <v>119090</v>
      </c>
      <c r="I40" s="380">
        <v>112575</v>
      </c>
      <c r="J40" s="380">
        <v>6515</v>
      </c>
      <c r="K40" s="380"/>
      <c r="L40" s="380">
        <v>714539</v>
      </c>
      <c r="M40" s="380">
        <v>675448</v>
      </c>
      <c r="N40" s="179">
        <v>39091</v>
      </c>
      <c r="O40" s="179" t="s">
        <v>90</v>
      </c>
    </row>
    <row r="41" spans="1:15">
      <c r="A41" s="380" t="s">
        <v>376</v>
      </c>
      <c r="B41" s="380" t="s">
        <v>386</v>
      </c>
      <c r="C41" s="380" t="s">
        <v>140</v>
      </c>
      <c r="D41" s="380" t="s">
        <v>398</v>
      </c>
      <c r="E41" s="380"/>
      <c r="F41" s="380">
        <v>909865</v>
      </c>
      <c r="G41" s="380"/>
      <c r="H41" s="380">
        <v>75822</v>
      </c>
      <c r="I41" s="380">
        <v>67121</v>
      </c>
      <c r="J41" s="380">
        <v>8701</v>
      </c>
      <c r="K41" s="380"/>
      <c r="L41" s="380">
        <v>450862</v>
      </c>
      <c r="M41" s="380">
        <v>402724</v>
      </c>
      <c r="N41" s="179">
        <v>48138</v>
      </c>
      <c r="O41" s="179" t="s">
        <v>90</v>
      </c>
    </row>
    <row r="42" spans="1:15">
      <c r="A42" s="380" t="s">
        <v>376</v>
      </c>
      <c r="B42" s="380" t="s">
        <v>386</v>
      </c>
      <c r="C42" s="380" t="s">
        <v>411</v>
      </c>
      <c r="D42" s="380" t="s">
        <v>412</v>
      </c>
      <c r="E42" s="380"/>
      <c r="F42" s="380">
        <v>224027</v>
      </c>
      <c r="G42" s="380"/>
      <c r="H42" s="380">
        <v>18669</v>
      </c>
      <c r="I42" s="380">
        <v>9782</v>
      </c>
      <c r="J42" s="380">
        <v>8887</v>
      </c>
      <c r="K42" s="380"/>
      <c r="L42" s="380">
        <v>109476</v>
      </c>
      <c r="M42" s="380">
        <v>58691</v>
      </c>
      <c r="N42" s="179">
        <v>50785</v>
      </c>
      <c r="O42" s="179" t="s">
        <v>90</v>
      </c>
    </row>
    <row r="43" spans="1:15">
      <c r="A43" s="380" t="s">
        <v>376</v>
      </c>
      <c r="B43" s="380" t="s">
        <v>386</v>
      </c>
      <c r="C43" s="380" t="s">
        <v>144</v>
      </c>
      <c r="D43" s="380" t="s">
        <v>415</v>
      </c>
      <c r="E43" s="380"/>
      <c r="F43" s="380">
        <v>916038</v>
      </c>
      <c r="G43" s="380"/>
      <c r="H43" s="380">
        <v>76337</v>
      </c>
      <c r="I43" s="380">
        <v>56539</v>
      </c>
      <c r="J43" s="380">
        <v>19798</v>
      </c>
      <c r="K43" s="380"/>
      <c r="L43" s="380">
        <v>457869</v>
      </c>
      <c r="M43" s="380">
        <v>339235</v>
      </c>
      <c r="N43" s="179">
        <v>118634</v>
      </c>
      <c r="O43" s="179" t="s">
        <v>90</v>
      </c>
    </row>
    <row r="44" spans="1:15">
      <c r="A44" s="380" t="s">
        <v>376</v>
      </c>
      <c r="B44" s="380" t="s">
        <v>386</v>
      </c>
      <c r="C44" s="380" t="s">
        <v>143</v>
      </c>
      <c r="D44" s="380" t="s">
        <v>394</v>
      </c>
      <c r="E44" s="380"/>
      <c r="F44" s="380">
        <v>883598</v>
      </c>
      <c r="G44" s="380"/>
      <c r="H44" s="380">
        <v>73633</v>
      </c>
      <c r="I44" s="380">
        <v>49665</v>
      </c>
      <c r="J44" s="380">
        <v>23968</v>
      </c>
      <c r="K44" s="380"/>
      <c r="L44" s="380">
        <v>441799</v>
      </c>
      <c r="M44" s="380">
        <v>297990</v>
      </c>
      <c r="N44" s="179">
        <v>143809</v>
      </c>
      <c r="O44" s="179" t="s">
        <v>90</v>
      </c>
    </row>
    <row r="45" spans="1:15">
      <c r="A45" s="380" t="s">
        <v>376</v>
      </c>
      <c r="B45" s="380" t="s">
        <v>386</v>
      </c>
      <c r="C45" s="380" t="s">
        <v>132</v>
      </c>
      <c r="D45" s="380" t="s">
        <v>418</v>
      </c>
      <c r="E45" s="380"/>
      <c r="F45" s="380">
        <v>3101280</v>
      </c>
      <c r="G45" s="380"/>
      <c r="H45" s="380">
        <v>258440</v>
      </c>
      <c r="I45" s="380">
        <v>220339</v>
      </c>
      <c r="J45" s="380">
        <v>38101</v>
      </c>
      <c r="K45" s="380"/>
      <c r="L45" s="380">
        <v>1533803</v>
      </c>
      <c r="M45" s="380">
        <v>1302034</v>
      </c>
      <c r="N45" s="179">
        <v>231769</v>
      </c>
      <c r="O45" s="179" t="s">
        <v>90</v>
      </c>
    </row>
    <row r="46" spans="1:15">
      <c r="A46" s="380" t="s">
        <v>376</v>
      </c>
      <c r="B46" s="380" t="s">
        <v>386</v>
      </c>
      <c r="C46" s="380" t="s">
        <v>139</v>
      </c>
      <c r="D46" s="380" t="s">
        <v>417</v>
      </c>
      <c r="E46" s="380"/>
      <c r="F46" s="380">
        <v>1367815</v>
      </c>
      <c r="G46" s="380"/>
      <c r="H46" s="380">
        <v>113985</v>
      </c>
      <c r="I46" s="380">
        <v>72292</v>
      </c>
      <c r="J46" s="380">
        <v>41693</v>
      </c>
      <c r="K46" s="380"/>
      <c r="L46" s="380">
        <v>681591</v>
      </c>
      <c r="M46" s="380">
        <v>433751</v>
      </c>
      <c r="N46" s="179">
        <v>247840</v>
      </c>
      <c r="O46" s="179" t="s">
        <v>90</v>
      </c>
    </row>
    <row r="47" spans="1:15">
      <c r="A47" s="380" t="s">
        <v>376</v>
      </c>
      <c r="B47" s="380" t="s">
        <v>386</v>
      </c>
      <c r="C47" s="380" t="s">
        <v>130</v>
      </c>
      <c r="D47" s="380" t="s">
        <v>402</v>
      </c>
      <c r="E47" s="380"/>
      <c r="F47" s="380">
        <v>4978444</v>
      </c>
      <c r="G47" s="380"/>
      <c r="H47" s="380">
        <v>414870</v>
      </c>
      <c r="I47" s="380">
        <v>378245</v>
      </c>
      <c r="J47" s="380">
        <v>36625</v>
      </c>
      <c r="K47" s="380"/>
      <c r="L47" s="380">
        <v>2668998</v>
      </c>
      <c r="M47" s="380">
        <v>2269471</v>
      </c>
      <c r="N47" s="179">
        <v>399527</v>
      </c>
      <c r="O47" s="179" t="s">
        <v>90</v>
      </c>
    </row>
    <row r="48" spans="1:15">
      <c r="A48" s="380" t="s">
        <v>376</v>
      </c>
      <c r="B48" s="380" t="s">
        <v>431</v>
      </c>
      <c r="C48" s="380" t="s">
        <v>188</v>
      </c>
      <c r="D48" s="380" t="s">
        <v>189</v>
      </c>
      <c r="E48" s="380"/>
      <c r="F48" s="380">
        <v>1050000</v>
      </c>
      <c r="G48" s="380"/>
      <c r="H48" s="380">
        <v>-66436</v>
      </c>
      <c r="I48" s="380">
        <v>-153935</v>
      </c>
      <c r="J48" s="380">
        <v>87499</v>
      </c>
      <c r="K48" s="380"/>
      <c r="L48" s="380">
        <v>525000</v>
      </c>
      <c r="M48" s="380">
        <v>0</v>
      </c>
      <c r="N48" s="179">
        <v>525000</v>
      </c>
      <c r="O48" s="179" t="s">
        <v>90</v>
      </c>
    </row>
    <row r="49" spans="1:15">
      <c r="A49" s="380"/>
      <c r="B49" s="380"/>
      <c r="C49" s="380"/>
      <c r="D49" s="380"/>
      <c r="E49" s="380"/>
      <c r="F49" s="380"/>
      <c r="G49" s="380"/>
      <c r="H49" s="380"/>
      <c r="I49" s="380"/>
      <c r="J49" s="380"/>
      <c r="K49" s="380"/>
      <c r="L49" s="380"/>
      <c r="M49" s="380"/>
    </row>
    <row r="50" spans="1:15">
      <c r="A50" s="380" t="s">
        <v>376</v>
      </c>
      <c r="B50" s="380" t="s">
        <v>435</v>
      </c>
      <c r="C50" s="380" t="s">
        <v>188</v>
      </c>
      <c r="D50" s="380" t="s">
        <v>189</v>
      </c>
      <c r="E50" s="380"/>
      <c r="F50" s="380">
        <v>0</v>
      </c>
      <c r="G50" s="380"/>
      <c r="H50" s="380">
        <v>0</v>
      </c>
      <c r="I50" s="380">
        <v>1200000</v>
      </c>
      <c r="J50" s="380">
        <v>-1200000</v>
      </c>
      <c r="K50" s="380"/>
      <c r="L50" s="380">
        <v>0</v>
      </c>
      <c r="M50" s="380">
        <v>1200000</v>
      </c>
      <c r="N50" s="179">
        <v>-1200000</v>
      </c>
      <c r="O50" s="179" t="s">
        <v>12</v>
      </c>
    </row>
    <row r="51" spans="1:15">
      <c r="A51" s="380" t="s">
        <v>376</v>
      </c>
      <c r="B51" s="380" t="s">
        <v>432</v>
      </c>
      <c r="C51" s="380" t="s">
        <v>123</v>
      </c>
      <c r="D51" s="380" t="s">
        <v>124</v>
      </c>
      <c r="E51" s="380"/>
      <c r="F51" s="380">
        <v>19736060</v>
      </c>
      <c r="G51" s="380"/>
      <c r="H51" s="380">
        <v>1644672</v>
      </c>
      <c r="I51" s="380">
        <v>2083219</v>
      </c>
      <c r="J51" s="380">
        <v>-438547</v>
      </c>
      <c r="K51" s="380"/>
      <c r="L51" s="380">
        <v>9829078</v>
      </c>
      <c r="M51" s="380">
        <v>10267625</v>
      </c>
      <c r="N51" s="179">
        <v>-438547</v>
      </c>
      <c r="O51" s="179" t="s">
        <v>12</v>
      </c>
    </row>
    <row r="52" spans="1:15">
      <c r="A52" s="380" t="s">
        <v>376</v>
      </c>
      <c r="B52" s="380" t="s">
        <v>432</v>
      </c>
      <c r="C52" s="380" t="s">
        <v>130</v>
      </c>
      <c r="D52" s="380" t="s">
        <v>402</v>
      </c>
      <c r="E52" s="380"/>
      <c r="F52" s="380">
        <v>3543750</v>
      </c>
      <c r="G52" s="380"/>
      <c r="H52" s="380">
        <v>295313</v>
      </c>
      <c r="I52" s="380">
        <v>367669</v>
      </c>
      <c r="J52" s="380">
        <v>-72356</v>
      </c>
      <c r="K52" s="380"/>
      <c r="L52" s="380">
        <v>1709504</v>
      </c>
      <c r="M52" s="380">
        <v>2146015</v>
      </c>
      <c r="N52" s="179">
        <v>-436511</v>
      </c>
      <c r="O52" s="179" t="s">
        <v>12</v>
      </c>
    </row>
    <row r="53" spans="1:15">
      <c r="A53" s="380" t="s">
        <v>376</v>
      </c>
      <c r="B53" s="380" t="s">
        <v>432</v>
      </c>
      <c r="C53" s="380" t="s">
        <v>139</v>
      </c>
      <c r="D53" s="380" t="s">
        <v>417</v>
      </c>
      <c r="E53" s="380"/>
      <c r="F53" s="380">
        <v>1145567</v>
      </c>
      <c r="G53" s="380"/>
      <c r="H53" s="380">
        <v>95464</v>
      </c>
      <c r="I53" s="380">
        <v>123120</v>
      </c>
      <c r="J53" s="380">
        <v>-27656</v>
      </c>
      <c r="K53" s="380"/>
      <c r="L53" s="380">
        <v>571340</v>
      </c>
      <c r="M53" s="380">
        <v>738720</v>
      </c>
      <c r="N53" s="179">
        <v>-167380</v>
      </c>
      <c r="O53" s="179" t="s">
        <v>12</v>
      </c>
    </row>
    <row r="54" spans="1:15">
      <c r="A54" s="380" t="s">
        <v>376</v>
      </c>
      <c r="B54" s="380" t="s">
        <v>432</v>
      </c>
      <c r="C54" s="380" t="s">
        <v>127</v>
      </c>
      <c r="D54" s="380" t="s">
        <v>422</v>
      </c>
      <c r="E54" s="380"/>
      <c r="F54" s="380">
        <v>6105427</v>
      </c>
      <c r="G54" s="380"/>
      <c r="H54" s="380">
        <v>508786</v>
      </c>
      <c r="I54" s="380">
        <v>533577</v>
      </c>
      <c r="J54" s="380">
        <v>-24791</v>
      </c>
      <c r="K54" s="380"/>
      <c r="L54" s="380">
        <v>2989724</v>
      </c>
      <c r="M54" s="380">
        <v>3141463</v>
      </c>
      <c r="N54" s="179">
        <v>-151739</v>
      </c>
      <c r="O54" s="179" t="s">
        <v>12</v>
      </c>
    </row>
    <row r="55" spans="1:15">
      <c r="A55" s="380" t="s">
        <v>376</v>
      </c>
      <c r="B55" s="380" t="s">
        <v>432</v>
      </c>
      <c r="C55" s="380" t="s">
        <v>134</v>
      </c>
      <c r="D55" s="380" t="s">
        <v>392</v>
      </c>
      <c r="E55" s="380"/>
      <c r="F55" s="380">
        <v>1519311</v>
      </c>
      <c r="G55" s="380"/>
      <c r="H55" s="380">
        <v>126609</v>
      </c>
      <c r="I55" s="380">
        <v>148073</v>
      </c>
      <c r="J55" s="380">
        <v>-21464</v>
      </c>
      <c r="K55" s="380"/>
      <c r="L55" s="380">
        <v>759479</v>
      </c>
      <c r="M55" s="380">
        <v>888436</v>
      </c>
      <c r="N55" s="179">
        <v>-128957</v>
      </c>
      <c r="O55" s="179" t="s">
        <v>12</v>
      </c>
    </row>
    <row r="56" spans="1:15">
      <c r="A56" s="380" t="s">
        <v>376</v>
      </c>
      <c r="B56" s="380" t="s">
        <v>432</v>
      </c>
      <c r="C56" s="380" t="s">
        <v>136</v>
      </c>
      <c r="D56" s="380" t="s">
        <v>399</v>
      </c>
      <c r="E56" s="380"/>
      <c r="F56" s="380">
        <v>1808668</v>
      </c>
      <c r="G56" s="380"/>
      <c r="H56" s="380">
        <v>150722</v>
      </c>
      <c r="I56" s="380">
        <v>151390</v>
      </c>
      <c r="J56" s="380">
        <v>-668</v>
      </c>
      <c r="K56" s="380"/>
      <c r="L56" s="380">
        <v>883991</v>
      </c>
      <c r="M56" s="380">
        <v>1009276</v>
      </c>
      <c r="N56" s="179">
        <v>-125285</v>
      </c>
      <c r="O56" s="179" t="s">
        <v>12</v>
      </c>
    </row>
    <row r="57" spans="1:15">
      <c r="A57" s="380" t="s">
        <v>376</v>
      </c>
      <c r="B57" s="380" t="s">
        <v>432</v>
      </c>
      <c r="C57" s="380" t="s">
        <v>391</v>
      </c>
      <c r="D57" s="380" t="s">
        <v>122</v>
      </c>
      <c r="E57" s="380"/>
      <c r="F57" s="380">
        <v>121580329</v>
      </c>
      <c r="G57" s="380"/>
      <c r="H57" s="380">
        <v>10131694</v>
      </c>
      <c r="I57" s="380">
        <v>10166573</v>
      </c>
      <c r="J57" s="380">
        <v>-34879</v>
      </c>
      <c r="K57" s="380"/>
      <c r="L57" s="380">
        <v>60774855</v>
      </c>
      <c r="M57" s="380">
        <v>60886937</v>
      </c>
      <c r="N57" s="179">
        <v>-112082</v>
      </c>
      <c r="O57" s="179" t="s">
        <v>12</v>
      </c>
    </row>
    <row r="58" spans="1:15">
      <c r="A58" s="380" t="s">
        <v>376</v>
      </c>
      <c r="B58" s="380" t="s">
        <v>432</v>
      </c>
      <c r="C58" s="380" t="s">
        <v>140</v>
      </c>
      <c r="D58" s="380" t="s">
        <v>398</v>
      </c>
      <c r="E58" s="380"/>
      <c r="F58" s="380">
        <v>179203</v>
      </c>
      <c r="G58" s="380"/>
      <c r="H58" s="380">
        <v>14934</v>
      </c>
      <c r="I58" s="380">
        <v>23335</v>
      </c>
      <c r="J58" s="380">
        <v>-8401</v>
      </c>
      <c r="K58" s="380"/>
      <c r="L58" s="380">
        <v>89491</v>
      </c>
      <c r="M58" s="380">
        <v>140008</v>
      </c>
      <c r="N58" s="179">
        <v>-50517</v>
      </c>
      <c r="O58" s="179" t="s">
        <v>149</v>
      </c>
    </row>
    <row r="59" spans="1:15">
      <c r="A59" s="380" t="s">
        <v>376</v>
      </c>
      <c r="B59" s="380" t="s">
        <v>432</v>
      </c>
      <c r="C59" s="380" t="s">
        <v>137</v>
      </c>
      <c r="D59" s="380" t="s">
        <v>393</v>
      </c>
      <c r="E59" s="380"/>
      <c r="F59" s="380">
        <v>1236028</v>
      </c>
      <c r="G59" s="380"/>
      <c r="H59" s="380">
        <v>103002</v>
      </c>
      <c r="I59" s="380">
        <v>109291</v>
      </c>
      <c r="J59" s="380">
        <v>-6289</v>
      </c>
      <c r="K59" s="380"/>
      <c r="L59" s="380">
        <v>640333</v>
      </c>
      <c r="M59" s="380">
        <v>679747</v>
      </c>
      <c r="N59" s="179">
        <v>-39414</v>
      </c>
      <c r="O59" s="179" t="s">
        <v>149</v>
      </c>
    </row>
    <row r="60" spans="1:15">
      <c r="A60" s="380" t="s">
        <v>376</v>
      </c>
      <c r="B60" s="380" t="s">
        <v>432</v>
      </c>
      <c r="C60" s="380" t="s">
        <v>167</v>
      </c>
      <c r="D60" s="380" t="s">
        <v>416</v>
      </c>
      <c r="E60" s="380"/>
      <c r="F60" s="380">
        <v>163755</v>
      </c>
      <c r="G60" s="380"/>
      <c r="H60" s="380">
        <v>13646</v>
      </c>
      <c r="I60" s="380">
        <v>17591</v>
      </c>
      <c r="J60" s="380">
        <v>-3945</v>
      </c>
      <c r="K60" s="380"/>
      <c r="L60" s="380">
        <v>80851</v>
      </c>
      <c r="M60" s="380">
        <v>105544</v>
      </c>
      <c r="N60" s="179">
        <v>-24693</v>
      </c>
      <c r="O60" s="179" t="s">
        <v>149</v>
      </c>
    </row>
    <row r="61" spans="1:15">
      <c r="A61" s="380" t="s">
        <v>376</v>
      </c>
      <c r="B61" s="380" t="s">
        <v>432</v>
      </c>
      <c r="C61" s="380" t="s">
        <v>131</v>
      </c>
      <c r="D61" s="380" t="s">
        <v>413</v>
      </c>
      <c r="E61" s="380"/>
      <c r="F61" s="380">
        <v>2238090</v>
      </c>
      <c r="G61" s="380"/>
      <c r="H61" s="380">
        <v>186508</v>
      </c>
      <c r="I61" s="380">
        <v>157645</v>
      </c>
      <c r="J61" s="380">
        <v>28863</v>
      </c>
      <c r="K61" s="380"/>
      <c r="L61" s="380">
        <v>1102019</v>
      </c>
      <c r="M61" s="380">
        <v>1124688</v>
      </c>
      <c r="N61" s="179">
        <v>-22669</v>
      </c>
      <c r="O61" s="179" t="s">
        <v>149</v>
      </c>
    </row>
    <row r="62" spans="1:15">
      <c r="A62" s="380" t="s">
        <v>376</v>
      </c>
      <c r="B62" s="380" t="s">
        <v>432</v>
      </c>
      <c r="C62" s="380" t="s">
        <v>199</v>
      </c>
      <c r="D62" s="380" t="s">
        <v>404</v>
      </c>
      <c r="E62" s="380"/>
      <c r="F62" s="380">
        <v>365504</v>
      </c>
      <c r="G62" s="380"/>
      <c r="H62" s="380">
        <v>30459</v>
      </c>
      <c r="I62" s="380">
        <v>33839</v>
      </c>
      <c r="J62" s="380">
        <v>-3380</v>
      </c>
      <c r="K62" s="380"/>
      <c r="L62" s="380">
        <v>180902</v>
      </c>
      <c r="M62" s="380">
        <v>203032</v>
      </c>
      <c r="N62" s="179">
        <v>-22130</v>
      </c>
      <c r="O62" s="179" t="s">
        <v>149</v>
      </c>
    </row>
    <row r="63" spans="1:15">
      <c r="A63" s="380" t="s">
        <v>376</v>
      </c>
      <c r="B63" s="380" t="s">
        <v>432</v>
      </c>
      <c r="C63" s="380" t="s">
        <v>166</v>
      </c>
      <c r="D63" s="380" t="s">
        <v>403</v>
      </c>
      <c r="E63" s="380"/>
      <c r="F63" s="380">
        <v>12775176</v>
      </c>
      <c r="G63" s="380"/>
      <c r="H63" s="380">
        <v>1064598</v>
      </c>
      <c r="I63" s="380">
        <v>1096488</v>
      </c>
      <c r="J63" s="380">
        <v>-31890</v>
      </c>
      <c r="K63" s="380"/>
      <c r="L63" s="380">
        <v>6387588</v>
      </c>
      <c r="M63" s="380">
        <v>6408094</v>
      </c>
      <c r="N63" s="179">
        <v>-20506</v>
      </c>
      <c r="O63" s="179" t="s">
        <v>149</v>
      </c>
    </row>
    <row r="64" spans="1:15">
      <c r="A64" s="380" t="s">
        <v>376</v>
      </c>
      <c r="B64" s="380" t="s">
        <v>432</v>
      </c>
      <c r="C64" s="380" t="s">
        <v>411</v>
      </c>
      <c r="D64" s="380" t="s">
        <v>412</v>
      </c>
      <c r="E64" s="380"/>
      <c r="F64" s="380">
        <v>56063</v>
      </c>
      <c r="G64" s="380"/>
      <c r="H64" s="380">
        <v>4672</v>
      </c>
      <c r="I64" s="380">
        <v>6043</v>
      </c>
      <c r="J64" s="380">
        <v>-1371</v>
      </c>
      <c r="K64" s="380"/>
      <c r="L64" s="380">
        <v>27528</v>
      </c>
      <c r="M64" s="380">
        <v>36258</v>
      </c>
      <c r="N64" s="179">
        <v>-8730</v>
      </c>
      <c r="O64" s="179" t="s">
        <v>149</v>
      </c>
    </row>
    <row r="65" spans="1:15">
      <c r="A65" s="380" t="s">
        <v>376</v>
      </c>
      <c r="B65" s="380" t="s">
        <v>432</v>
      </c>
      <c r="C65" s="380" t="s">
        <v>126</v>
      </c>
      <c r="D65" s="380" t="s">
        <v>425</v>
      </c>
      <c r="E65" s="380"/>
      <c r="F65" s="380">
        <v>9656693</v>
      </c>
      <c r="G65" s="380"/>
      <c r="H65" s="380">
        <v>804724</v>
      </c>
      <c r="I65" s="380">
        <v>804726</v>
      </c>
      <c r="J65" s="380">
        <v>-2</v>
      </c>
      <c r="K65" s="380"/>
      <c r="L65" s="380">
        <v>4828346</v>
      </c>
      <c r="M65" s="380">
        <v>4828348</v>
      </c>
      <c r="N65" s="179">
        <v>-2</v>
      </c>
      <c r="O65" s="179" t="s">
        <v>149</v>
      </c>
    </row>
    <row r="66" spans="1:15">
      <c r="A66" s="380" t="s">
        <v>376</v>
      </c>
      <c r="B66" s="380" t="s">
        <v>432</v>
      </c>
      <c r="C66" s="380" t="s">
        <v>396</v>
      </c>
      <c r="D66" s="380" t="s">
        <v>397</v>
      </c>
      <c r="E66" s="380"/>
      <c r="F66" s="380">
        <v>0</v>
      </c>
      <c r="G66" s="380"/>
      <c r="H66" s="380">
        <v>0</v>
      </c>
      <c r="I66" s="380">
        <v>0</v>
      </c>
      <c r="J66" s="380">
        <v>0</v>
      </c>
      <c r="K66" s="380"/>
      <c r="L66" s="380">
        <v>0</v>
      </c>
      <c r="M66" s="380">
        <v>0</v>
      </c>
      <c r="N66" s="179">
        <v>0</v>
      </c>
      <c r="O66" s="179" t="s">
        <v>149</v>
      </c>
    </row>
    <row r="67" spans="1:15">
      <c r="A67" s="380" t="s">
        <v>376</v>
      </c>
      <c r="B67" s="380" t="s">
        <v>432</v>
      </c>
      <c r="C67" s="380" t="s">
        <v>125</v>
      </c>
      <c r="D67" s="380" t="s">
        <v>421</v>
      </c>
      <c r="E67" s="380"/>
      <c r="F67" s="380">
        <v>10137755</v>
      </c>
      <c r="G67" s="380"/>
      <c r="H67" s="380">
        <v>844813</v>
      </c>
      <c r="I67" s="380">
        <v>844813</v>
      </c>
      <c r="J67" s="380">
        <v>0</v>
      </c>
      <c r="K67" s="380"/>
      <c r="L67" s="380">
        <v>5000328</v>
      </c>
      <c r="M67" s="380">
        <v>5000328</v>
      </c>
      <c r="N67" s="179">
        <v>0</v>
      </c>
      <c r="O67" s="179" t="s">
        <v>90</v>
      </c>
    </row>
    <row r="68" spans="1:15">
      <c r="A68" s="380" t="s">
        <v>376</v>
      </c>
      <c r="B68" s="380" t="s">
        <v>434</v>
      </c>
      <c r="C68" s="380" t="s">
        <v>186</v>
      </c>
      <c r="D68" s="380" t="s">
        <v>187</v>
      </c>
      <c r="E68" s="380"/>
      <c r="F68" s="380">
        <v>60803</v>
      </c>
      <c r="G68" s="380"/>
      <c r="H68" s="380">
        <v>5067</v>
      </c>
      <c r="I68" s="380">
        <v>5067</v>
      </c>
      <c r="J68" s="380">
        <v>0</v>
      </c>
      <c r="K68" s="380"/>
      <c r="L68" s="380">
        <v>30402</v>
      </c>
      <c r="M68" s="380">
        <v>30402</v>
      </c>
      <c r="N68" s="179">
        <v>0</v>
      </c>
      <c r="O68" s="179" t="s">
        <v>90</v>
      </c>
    </row>
    <row r="69" spans="1:15">
      <c r="A69" s="380" t="s">
        <v>376</v>
      </c>
      <c r="B69" s="380" t="s">
        <v>432</v>
      </c>
      <c r="C69" s="380" t="s">
        <v>138</v>
      </c>
      <c r="D69" s="380" t="s">
        <v>395</v>
      </c>
      <c r="E69" s="380"/>
      <c r="F69" s="380">
        <v>833820</v>
      </c>
      <c r="G69" s="380"/>
      <c r="H69" s="380">
        <v>69485</v>
      </c>
      <c r="I69" s="380">
        <v>67259</v>
      </c>
      <c r="J69" s="380">
        <v>2226</v>
      </c>
      <c r="K69" s="380"/>
      <c r="L69" s="380">
        <v>407325</v>
      </c>
      <c r="M69" s="380">
        <v>395559</v>
      </c>
      <c r="N69" s="179">
        <v>11766</v>
      </c>
      <c r="O69" s="179" t="s">
        <v>90</v>
      </c>
    </row>
    <row r="70" spans="1:15">
      <c r="A70" s="380" t="s">
        <v>376</v>
      </c>
      <c r="B70" s="380" t="s">
        <v>432</v>
      </c>
      <c r="C70" s="380" t="s">
        <v>133</v>
      </c>
      <c r="D70" s="380" t="s">
        <v>410</v>
      </c>
      <c r="E70" s="380"/>
      <c r="F70" s="380">
        <v>2123070</v>
      </c>
      <c r="G70" s="380"/>
      <c r="H70" s="380">
        <v>176923</v>
      </c>
      <c r="I70" s="380">
        <v>174738</v>
      </c>
      <c r="J70" s="380">
        <v>2185</v>
      </c>
      <c r="K70" s="380"/>
      <c r="L70" s="380">
        <v>1061536</v>
      </c>
      <c r="M70" s="380">
        <v>1048429</v>
      </c>
      <c r="N70" s="179">
        <v>13107</v>
      </c>
      <c r="O70" s="179" t="s">
        <v>90</v>
      </c>
    </row>
    <row r="71" spans="1:15">
      <c r="A71" s="380" t="s">
        <v>376</v>
      </c>
      <c r="B71" s="380" t="s">
        <v>432</v>
      </c>
      <c r="C71" s="380" t="s">
        <v>144</v>
      </c>
      <c r="D71" s="380" t="s">
        <v>415</v>
      </c>
      <c r="E71" s="380"/>
      <c r="F71" s="380">
        <v>390110</v>
      </c>
      <c r="G71" s="380"/>
      <c r="H71" s="380">
        <v>32509</v>
      </c>
      <c r="I71" s="380">
        <v>22132</v>
      </c>
      <c r="J71" s="380">
        <v>10377</v>
      </c>
      <c r="K71" s="380"/>
      <c r="L71" s="380">
        <v>195055</v>
      </c>
      <c r="M71" s="380">
        <v>132790</v>
      </c>
      <c r="N71" s="179">
        <v>62265</v>
      </c>
      <c r="O71" s="179" t="s">
        <v>90</v>
      </c>
    </row>
    <row r="72" spans="1:15">
      <c r="A72" s="380" t="s">
        <v>376</v>
      </c>
      <c r="B72" s="380" t="s">
        <v>432</v>
      </c>
      <c r="C72" s="380" t="s">
        <v>128</v>
      </c>
      <c r="D72" s="380" t="s">
        <v>433</v>
      </c>
      <c r="E72" s="380"/>
      <c r="F72" s="380">
        <v>5585142</v>
      </c>
      <c r="G72" s="380"/>
      <c r="H72" s="380">
        <v>465429</v>
      </c>
      <c r="I72" s="380">
        <v>449588</v>
      </c>
      <c r="J72" s="380">
        <v>15841</v>
      </c>
      <c r="K72" s="380"/>
      <c r="L72" s="380">
        <v>2838546</v>
      </c>
      <c r="M72" s="380">
        <v>2745527</v>
      </c>
      <c r="N72" s="179">
        <v>93019</v>
      </c>
      <c r="O72" s="179" t="s">
        <v>90</v>
      </c>
    </row>
    <row r="73" spans="1:15">
      <c r="A73" s="380" t="s">
        <v>376</v>
      </c>
      <c r="B73" s="380" t="s">
        <v>432</v>
      </c>
      <c r="C73" s="380" t="s">
        <v>143</v>
      </c>
      <c r="D73" s="380" t="s">
        <v>394</v>
      </c>
      <c r="E73" s="380"/>
      <c r="F73" s="380">
        <v>458777</v>
      </c>
      <c r="G73" s="380"/>
      <c r="H73" s="380">
        <v>38231</v>
      </c>
      <c r="I73" s="380">
        <v>22622</v>
      </c>
      <c r="J73" s="380">
        <v>15609</v>
      </c>
      <c r="K73" s="380"/>
      <c r="L73" s="380">
        <v>229388</v>
      </c>
      <c r="M73" s="380">
        <v>135731</v>
      </c>
      <c r="N73" s="179">
        <v>93657</v>
      </c>
      <c r="O73" s="179" t="s">
        <v>90</v>
      </c>
    </row>
    <row r="74" spans="1:15">
      <c r="A74" s="380" t="s">
        <v>376</v>
      </c>
      <c r="B74" s="380" t="s">
        <v>432</v>
      </c>
      <c r="C74" s="380" t="s">
        <v>129</v>
      </c>
      <c r="D74" s="380" t="s">
        <v>409</v>
      </c>
      <c r="E74" s="380"/>
      <c r="F74" s="380">
        <v>3399328</v>
      </c>
      <c r="G74" s="380"/>
      <c r="H74" s="380">
        <v>283277</v>
      </c>
      <c r="I74" s="380">
        <v>267336</v>
      </c>
      <c r="J74" s="380">
        <v>15941</v>
      </c>
      <c r="K74" s="380"/>
      <c r="L74" s="380">
        <v>1707491</v>
      </c>
      <c r="M74" s="380">
        <v>1604014</v>
      </c>
      <c r="N74" s="179">
        <v>103477</v>
      </c>
      <c r="O74" s="179" t="s">
        <v>90</v>
      </c>
    </row>
    <row r="75" spans="1:15">
      <c r="A75" s="380" t="s">
        <v>376</v>
      </c>
      <c r="B75" s="380" t="s">
        <v>432</v>
      </c>
      <c r="C75" s="380" t="s">
        <v>135</v>
      </c>
      <c r="D75" s="380" t="s">
        <v>414</v>
      </c>
      <c r="E75" s="380"/>
      <c r="F75" s="380">
        <v>1657889</v>
      </c>
      <c r="G75" s="380"/>
      <c r="H75" s="380">
        <v>138157</v>
      </c>
      <c r="I75" s="380">
        <v>112679</v>
      </c>
      <c r="J75" s="380">
        <v>25478</v>
      </c>
      <c r="K75" s="380"/>
      <c r="L75" s="380">
        <v>828944</v>
      </c>
      <c r="M75" s="380">
        <v>721994</v>
      </c>
      <c r="N75" s="179">
        <v>106950</v>
      </c>
      <c r="O75" s="179" t="s">
        <v>90</v>
      </c>
    </row>
    <row r="76" spans="1:15">
      <c r="A76" s="380" t="s">
        <v>376</v>
      </c>
      <c r="B76" s="380" t="s">
        <v>432</v>
      </c>
      <c r="C76" s="380" t="s">
        <v>132</v>
      </c>
      <c r="D76" s="380" t="s">
        <v>418</v>
      </c>
      <c r="E76" s="380"/>
      <c r="F76" s="380">
        <v>2904982</v>
      </c>
      <c r="G76" s="380"/>
      <c r="H76" s="380">
        <v>242082</v>
      </c>
      <c r="I76" s="380">
        <v>214695</v>
      </c>
      <c r="J76" s="380">
        <v>27387</v>
      </c>
      <c r="K76" s="380"/>
      <c r="L76" s="380">
        <v>1438216</v>
      </c>
      <c r="M76" s="380">
        <v>1272169</v>
      </c>
      <c r="N76" s="179">
        <v>166047</v>
      </c>
      <c r="O76" s="179" t="s">
        <v>90</v>
      </c>
    </row>
    <row r="77" spans="1:15">
      <c r="A77" s="380" t="s">
        <v>376</v>
      </c>
      <c r="B77" s="380" t="s">
        <v>436</v>
      </c>
      <c r="C77" s="380" t="s">
        <v>429</v>
      </c>
      <c r="D77" s="380" t="s">
        <v>430</v>
      </c>
      <c r="E77" s="380"/>
      <c r="F77" s="380">
        <v>788852</v>
      </c>
      <c r="G77" s="380"/>
      <c r="H77" s="380">
        <v>65733</v>
      </c>
      <c r="I77" s="380">
        <v>0</v>
      </c>
      <c r="J77" s="380">
        <v>65733</v>
      </c>
      <c r="K77" s="380"/>
      <c r="L77" s="380">
        <v>394422</v>
      </c>
      <c r="M77" s="380">
        <v>0</v>
      </c>
      <c r="N77" s="179">
        <v>394422</v>
      </c>
      <c r="O77" s="179" t="s">
        <v>90</v>
      </c>
    </row>
    <row r="78" spans="1:15">
      <c r="A78" s="380" t="s">
        <v>376</v>
      </c>
      <c r="B78" s="380" t="s">
        <v>435</v>
      </c>
      <c r="C78" s="380" t="s">
        <v>429</v>
      </c>
      <c r="D78" s="380" t="s">
        <v>430</v>
      </c>
      <c r="E78" s="380"/>
      <c r="F78" s="380">
        <v>-9297627</v>
      </c>
      <c r="G78" s="380"/>
      <c r="H78" s="380">
        <v>1386667</v>
      </c>
      <c r="I78" s="380">
        <v>0</v>
      </c>
      <c r="J78" s="380">
        <v>1386667</v>
      </c>
      <c r="K78" s="380"/>
      <c r="L78" s="380">
        <v>-112666</v>
      </c>
      <c r="M78" s="380">
        <v>-1200000</v>
      </c>
      <c r="N78" s="179">
        <v>1087334</v>
      </c>
      <c r="O78" s="179" t="s">
        <v>90</v>
      </c>
    </row>
    <row r="79" spans="1:15">
      <c r="A79" s="380"/>
      <c r="B79" s="380"/>
      <c r="C79" s="380"/>
      <c r="D79" s="380"/>
      <c r="E79" s="380"/>
      <c r="F79" s="380"/>
      <c r="G79" s="380"/>
      <c r="H79" s="380"/>
      <c r="I79" s="380"/>
      <c r="J79" s="380"/>
      <c r="K79" s="380"/>
      <c r="L79" s="380"/>
      <c r="M79" s="380"/>
    </row>
    <row r="80" spans="1:15">
      <c r="A80" s="380" t="s">
        <v>376</v>
      </c>
      <c r="B80" s="380" t="s">
        <v>444</v>
      </c>
      <c r="C80" s="380" t="s">
        <v>429</v>
      </c>
      <c r="D80" s="380" t="s">
        <v>430</v>
      </c>
      <c r="E80" s="380"/>
      <c r="F80" s="380">
        <v>-5975397</v>
      </c>
      <c r="G80" s="380"/>
      <c r="H80" s="380">
        <v>181288</v>
      </c>
      <c r="I80" s="380">
        <v>0</v>
      </c>
      <c r="J80" s="380">
        <v>181288</v>
      </c>
      <c r="K80" s="380"/>
      <c r="L80" s="380">
        <v>-318712</v>
      </c>
      <c r="M80" s="380">
        <v>0</v>
      </c>
      <c r="N80" s="179">
        <v>-318712</v>
      </c>
      <c r="O80" s="179" t="s">
        <v>12</v>
      </c>
    </row>
    <row r="81" spans="1:15">
      <c r="A81" s="380" t="s">
        <v>376</v>
      </c>
      <c r="B81" s="380" t="s">
        <v>437</v>
      </c>
      <c r="C81" s="380" t="s">
        <v>133</v>
      </c>
      <c r="D81" s="380" t="s">
        <v>410</v>
      </c>
      <c r="E81" s="380"/>
      <c r="F81" s="380">
        <v>901090</v>
      </c>
      <c r="G81" s="380"/>
      <c r="H81" s="380">
        <v>75091</v>
      </c>
      <c r="I81" s="380">
        <v>106806</v>
      </c>
      <c r="J81" s="380">
        <v>-31715</v>
      </c>
      <c r="K81" s="380"/>
      <c r="L81" s="380">
        <v>450545</v>
      </c>
      <c r="M81" s="380">
        <v>640835</v>
      </c>
      <c r="N81" s="179">
        <v>-190290</v>
      </c>
      <c r="O81" s="179" t="s">
        <v>12</v>
      </c>
    </row>
    <row r="82" spans="1:15">
      <c r="A82" s="380" t="s">
        <v>376</v>
      </c>
      <c r="B82" s="380" t="s">
        <v>437</v>
      </c>
      <c r="C82" s="380" t="s">
        <v>132</v>
      </c>
      <c r="D82" s="380" t="s">
        <v>418</v>
      </c>
      <c r="E82" s="380"/>
      <c r="F82" s="380">
        <v>1841556</v>
      </c>
      <c r="G82" s="380"/>
      <c r="H82" s="380">
        <v>153463</v>
      </c>
      <c r="I82" s="380">
        <v>176794</v>
      </c>
      <c r="J82" s="380">
        <v>-23331</v>
      </c>
      <c r="K82" s="380"/>
      <c r="L82" s="380">
        <v>910673</v>
      </c>
      <c r="M82" s="380">
        <v>1060764</v>
      </c>
      <c r="N82" s="179">
        <v>-150091</v>
      </c>
      <c r="O82" s="179" t="s">
        <v>12</v>
      </c>
    </row>
    <row r="83" spans="1:15">
      <c r="A83" s="380" t="s">
        <v>376</v>
      </c>
      <c r="B83" s="380" t="s">
        <v>437</v>
      </c>
      <c r="C83" s="380" t="s">
        <v>143</v>
      </c>
      <c r="D83" s="380" t="s">
        <v>394</v>
      </c>
      <c r="E83" s="380"/>
      <c r="F83" s="380">
        <v>643202</v>
      </c>
      <c r="G83" s="380"/>
      <c r="H83" s="380">
        <v>53600</v>
      </c>
      <c r="I83" s="380">
        <v>72146</v>
      </c>
      <c r="J83" s="380">
        <v>-18546</v>
      </c>
      <c r="K83" s="380"/>
      <c r="L83" s="380">
        <v>321601</v>
      </c>
      <c r="M83" s="380">
        <v>432877</v>
      </c>
      <c r="N83" s="179">
        <v>-111276</v>
      </c>
      <c r="O83" s="179" t="s">
        <v>12</v>
      </c>
    </row>
    <row r="84" spans="1:15">
      <c r="A84" s="380" t="s">
        <v>376</v>
      </c>
      <c r="B84" s="380" t="s">
        <v>437</v>
      </c>
      <c r="C84" s="380" t="s">
        <v>144</v>
      </c>
      <c r="D84" s="380" t="s">
        <v>415</v>
      </c>
      <c r="E84" s="380"/>
      <c r="F84" s="380">
        <v>1476194</v>
      </c>
      <c r="G84" s="380"/>
      <c r="H84" s="380">
        <v>123016</v>
      </c>
      <c r="I84" s="380">
        <v>138317</v>
      </c>
      <c r="J84" s="380">
        <v>-15301</v>
      </c>
      <c r="K84" s="380"/>
      <c r="L84" s="380">
        <v>738064</v>
      </c>
      <c r="M84" s="380">
        <v>829900</v>
      </c>
      <c r="N84" s="179">
        <v>-91836</v>
      </c>
      <c r="O84" s="179" t="s">
        <v>149</v>
      </c>
    </row>
    <row r="85" spans="1:15">
      <c r="A85" s="380" t="s">
        <v>376</v>
      </c>
      <c r="B85" s="380" t="s">
        <v>437</v>
      </c>
      <c r="C85" s="380" t="s">
        <v>389</v>
      </c>
      <c r="D85" s="380" t="s">
        <v>390</v>
      </c>
      <c r="E85" s="380"/>
      <c r="F85" s="380">
        <v>654971</v>
      </c>
      <c r="G85" s="380"/>
      <c r="H85" s="380">
        <v>54581</v>
      </c>
      <c r="I85" s="380">
        <v>69086</v>
      </c>
      <c r="J85" s="380">
        <v>-14505</v>
      </c>
      <c r="K85" s="380"/>
      <c r="L85" s="380">
        <v>327486</v>
      </c>
      <c r="M85" s="380">
        <v>414517</v>
      </c>
      <c r="N85" s="179">
        <v>-87031</v>
      </c>
      <c r="O85" s="179" t="s">
        <v>149</v>
      </c>
    </row>
    <row r="86" spans="1:15">
      <c r="A86" s="380" t="s">
        <v>376</v>
      </c>
      <c r="B86" s="380" t="s">
        <v>437</v>
      </c>
      <c r="C86" s="380" t="s">
        <v>136</v>
      </c>
      <c r="D86" s="380" t="s">
        <v>399</v>
      </c>
      <c r="E86" s="380"/>
      <c r="F86" s="380">
        <v>6961117</v>
      </c>
      <c r="G86" s="380"/>
      <c r="H86" s="380">
        <v>580093</v>
      </c>
      <c r="I86" s="380">
        <v>536353</v>
      </c>
      <c r="J86" s="380">
        <v>43740</v>
      </c>
      <c r="K86" s="380"/>
      <c r="L86" s="380">
        <v>3401355</v>
      </c>
      <c r="M86" s="380">
        <v>3471292</v>
      </c>
      <c r="N86" s="179">
        <v>-69937</v>
      </c>
      <c r="O86" s="179" t="s">
        <v>149</v>
      </c>
    </row>
    <row r="87" spans="1:15">
      <c r="A87" s="380" t="s">
        <v>376</v>
      </c>
      <c r="B87" s="380" t="s">
        <v>437</v>
      </c>
      <c r="C87" s="380" t="s">
        <v>131</v>
      </c>
      <c r="D87" s="380" t="s">
        <v>413</v>
      </c>
      <c r="E87" s="380"/>
      <c r="F87" s="380">
        <v>4741204</v>
      </c>
      <c r="G87" s="380"/>
      <c r="H87" s="380">
        <v>395100</v>
      </c>
      <c r="I87" s="380">
        <v>427003</v>
      </c>
      <c r="J87" s="380">
        <v>-31903</v>
      </c>
      <c r="K87" s="380"/>
      <c r="L87" s="380">
        <v>2334977</v>
      </c>
      <c r="M87" s="380">
        <v>2392184</v>
      </c>
      <c r="N87" s="179">
        <v>-57207</v>
      </c>
      <c r="O87" s="179" t="s">
        <v>149</v>
      </c>
    </row>
    <row r="88" spans="1:15">
      <c r="A88" s="380" t="s">
        <v>376</v>
      </c>
      <c r="B88" s="380" t="s">
        <v>437</v>
      </c>
      <c r="C88" s="380" t="s">
        <v>137</v>
      </c>
      <c r="D88" s="380" t="s">
        <v>393</v>
      </c>
      <c r="E88" s="380"/>
      <c r="F88" s="380">
        <v>1460443</v>
      </c>
      <c r="G88" s="380"/>
      <c r="H88" s="380">
        <v>121704</v>
      </c>
      <c r="I88" s="380">
        <v>130154</v>
      </c>
      <c r="J88" s="380">
        <v>-8450</v>
      </c>
      <c r="K88" s="380"/>
      <c r="L88" s="380">
        <v>759024</v>
      </c>
      <c r="M88" s="380">
        <v>808924</v>
      </c>
      <c r="N88" s="179">
        <v>-49900</v>
      </c>
      <c r="O88" s="179" t="s">
        <v>149</v>
      </c>
    </row>
    <row r="89" spans="1:15">
      <c r="A89" s="380" t="s">
        <v>376</v>
      </c>
      <c r="B89" s="380" t="s">
        <v>437</v>
      </c>
      <c r="C89" s="380" t="s">
        <v>440</v>
      </c>
      <c r="D89" s="380" t="s">
        <v>441</v>
      </c>
      <c r="E89" s="380"/>
      <c r="F89" s="380">
        <v>273065</v>
      </c>
      <c r="G89" s="380"/>
      <c r="H89" s="380">
        <v>22755</v>
      </c>
      <c r="I89" s="380">
        <v>29887</v>
      </c>
      <c r="J89" s="380">
        <v>-7132</v>
      </c>
      <c r="K89" s="380"/>
      <c r="L89" s="380">
        <v>136103</v>
      </c>
      <c r="M89" s="380">
        <v>179323</v>
      </c>
      <c r="N89" s="179">
        <v>-43220</v>
      </c>
      <c r="O89" s="179" t="s">
        <v>149</v>
      </c>
    </row>
    <row r="90" spans="1:15">
      <c r="A90" s="380" t="s">
        <v>376</v>
      </c>
      <c r="B90" s="380" t="s">
        <v>437</v>
      </c>
      <c r="C90" s="380" t="s">
        <v>199</v>
      </c>
      <c r="D90" s="380" t="s">
        <v>404</v>
      </c>
      <c r="E90" s="380"/>
      <c r="F90" s="380">
        <v>14100975</v>
      </c>
      <c r="G90" s="380"/>
      <c r="H90" s="380">
        <v>1175081</v>
      </c>
      <c r="I90" s="380">
        <v>1175875</v>
      </c>
      <c r="J90" s="380">
        <v>-794</v>
      </c>
      <c r="K90" s="380"/>
      <c r="L90" s="380">
        <v>6929628</v>
      </c>
      <c r="M90" s="380">
        <v>6935248</v>
      </c>
      <c r="N90" s="179">
        <v>-5620</v>
      </c>
      <c r="O90" s="179" t="s">
        <v>149</v>
      </c>
    </row>
    <row r="91" spans="1:15">
      <c r="A91" s="380" t="s">
        <v>376</v>
      </c>
      <c r="B91" s="380" t="s">
        <v>437</v>
      </c>
      <c r="C91" s="380" t="s">
        <v>127</v>
      </c>
      <c r="D91" s="380" t="s">
        <v>422</v>
      </c>
      <c r="E91" s="380"/>
      <c r="F91" s="380">
        <v>0</v>
      </c>
      <c r="G91" s="380"/>
      <c r="H91" s="380">
        <v>0</v>
      </c>
      <c r="I91" s="380">
        <v>4984</v>
      </c>
      <c r="J91" s="380">
        <v>-4984</v>
      </c>
      <c r="K91" s="380"/>
      <c r="L91" s="380">
        <v>0</v>
      </c>
      <c r="M91" s="380">
        <v>4984</v>
      </c>
      <c r="N91" s="179">
        <v>-4984</v>
      </c>
      <c r="O91" s="179" t="s">
        <v>149</v>
      </c>
    </row>
    <row r="92" spans="1:15">
      <c r="A92" s="380" t="s">
        <v>376</v>
      </c>
      <c r="B92" s="380" t="s">
        <v>437</v>
      </c>
      <c r="C92" s="380" t="s">
        <v>188</v>
      </c>
      <c r="D92" s="380" t="s">
        <v>189</v>
      </c>
      <c r="E92" s="380"/>
      <c r="F92" s="380">
        <v>0</v>
      </c>
      <c r="G92" s="380"/>
      <c r="H92" s="380">
        <v>0</v>
      </c>
      <c r="I92" s="380">
        <v>447</v>
      </c>
      <c r="J92" s="380">
        <v>-447</v>
      </c>
      <c r="K92" s="380"/>
      <c r="L92" s="380">
        <v>0</v>
      </c>
      <c r="M92" s="380">
        <v>447</v>
      </c>
      <c r="N92" s="179">
        <v>-447</v>
      </c>
      <c r="O92" s="179" t="s">
        <v>149</v>
      </c>
    </row>
    <row r="93" spans="1:15">
      <c r="A93" s="380" t="s">
        <v>376</v>
      </c>
      <c r="B93" s="380" t="s">
        <v>442</v>
      </c>
      <c r="C93" s="380" t="s">
        <v>186</v>
      </c>
      <c r="D93" s="380" t="s">
        <v>187</v>
      </c>
      <c r="E93" s="380"/>
      <c r="F93" s="380">
        <v>59023</v>
      </c>
      <c r="G93" s="380"/>
      <c r="H93" s="380">
        <v>4920</v>
      </c>
      <c r="I93" s="380">
        <v>4926</v>
      </c>
      <c r="J93" s="380">
        <v>-6</v>
      </c>
      <c r="K93" s="380"/>
      <c r="L93" s="380">
        <v>29505</v>
      </c>
      <c r="M93" s="380">
        <v>29512</v>
      </c>
      <c r="N93" s="179">
        <v>-7</v>
      </c>
      <c r="O93" s="179" t="s">
        <v>149</v>
      </c>
    </row>
    <row r="94" spans="1:15">
      <c r="A94" s="380" t="s">
        <v>376</v>
      </c>
      <c r="B94" s="380" t="s">
        <v>437</v>
      </c>
      <c r="C94" s="380" t="s">
        <v>438</v>
      </c>
      <c r="D94" s="380" t="s">
        <v>439</v>
      </c>
      <c r="E94" s="380"/>
      <c r="F94" s="380">
        <v>0</v>
      </c>
      <c r="G94" s="380"/>
      <c r="H94" s="380">
        <v>0</v>
      </c>
      <c r="I94" s="380">
        <v>0</v>
      </c>
      <c r="J94" s="380">
        <v>0</v>
      </c>
      <c r="K94" s="380"/>
      <c r="L94" s="380">
        <v>0</v>
      </c>
      <c r="M94" s="380">
        <v>0</v>
      </c>
      <c r="N94" s="179">
        <v>0</v>
      </c>
      <c r="O94" s="179" t="s">
        <v>149</v>
      </c>
    </row>
    <row r="95" spans="1:15">
      <c r="A95" s="380" t="s">
        <v>376</v>
      </c>
      <c r="B95" s="380" t="s">
        <v>437</v>
      </c>
      <c r="C95" s="380" t="s">
        <v>126</v>
      </c>
      <c r="D95" s="380" t="s">
        <v>425</v>
      </c>
      <c r="E95" s="380"/>
      <c r="F95" s="380">
        <v>0</v>
      </c>
      <c r="G95" s="380"/>
      <c r="H95" s="380">
        <v>0</v>
      </c>
      <c r="I95" s="380">
        <v>-23008</v>
      </c>
      <c r="J95" s="380">
        <v>23008</v>
      </c>
      <c r="K95" s="380"/>
      <c r="L95" s="380">
        <v>0</v>
      </c>
      <c r="M95" s="380">
        <v>0</v>
      </c>
      <c r="N95" s="179">
        <v>0</v>
      </c>
      <c r="O95" s="179" t="s">
        <v>90</v>
      </c>
    </row>
    <row r="96" spans="1:15">
      <c r="A96" s="380" t="s">
        <v>376</v>
      </c>
      <c r="B96" s="380" t="s">
        <v>437</v>
      </c>
      <c r="C96" s="380" t="s">
        <v>125</v>
      </c>
      <c r="D96" s="380" t="s">
        <v>421</v>
      </c>
      <c r="E96" s="380"/>
      <c r="F96" s="380">
        <v>1117970</v>
      </c>
      <c r="G96" s="380"/>
      <c r="H96" s="380">
        <v>93164</v>
      </c>
      <c r="I96" s="380">
        <v>93164</v>
      </c>
      <c r="J96" s="380">
        <v>0</v>
      </c>
      <c r="K96" s="380"/>
      <c r="L96" s="380">
        <v>551342</v>
      </c>
      <c r="M96" s="380">
        <v>551342</v>
      </c>
      <c r="N96" s="179">
        <v>0</v>
      </c>
      <c r="O96" s="179" t="s">
        <v>90</v>
      </c>
    </row>
    <row r="97" spans="1:15">
      <c r="A97" s="380" t="s">
        <v>376</v>
      </c>
      <c r="B97" s="380" t="s">
        <v>437</v>
      </c>
      <c r="C97" s="380" t="s">
        <v>123</v>
      </c>
      <c r="D97" s="380" t="s">
        <v>124</v>
      </c>
      <c r="E97" s="380"/>
      <c r="F97" s="380">
        <v>50808491</v>
      </c>
      <c r="G97" s="380"/>
      <c r="H97" s="380">
        <v>4234041</v>
      </c>
      <c r="I97" s="380">
        <v>4234041</v>
      </c>
      <c r="J97" s="380">
        <v>0</v>
      </c>
      <c r="K97" s="380"/>
      <c r="L97" s="380">
        <v>25304561</v>
      </c>
      <c r="M97" s="380">
        <v>25304561</v>
      </c>
      <c r="N97" s="179">
        <v>0</v>
      </c>
      <c r="O97" s="179" t="s">
        <v>90</v>
      </c>
    </row>
    <row r="98" spans="1:15">
      <c r="A98" s="380" t="s">
        <v>376</v>
      </c>
      <c r="B98" s="380" t="s">
        <v>443</v>
      </c>
      <c r="C98" s="380" t="s">
        <v>188</v>
      </c>
      <c r="D98" s="380" t="s">
        <v>189</v>
      </c>
      <c r="E98" s="380"/>
      <c r="F98" s="380">
        <v>0</v>
      </c>
      <c r="G98" s="380"/>
      <c r="H98" s="380">
        <v>0</v>
      </c>
      <c r="I98" s="380">
        <v>1803115</v>
      </c>
      <c r="J98" s="380">
        <v>-1803115</v>
      </c>
      <c r="K98" s="380"/>
      <c r="L98" s="380">
        <v>0</v>
      </c>
      <c r="M98" s="380">
        <v>0</v>
      </c>
      <c r="N98" s="179">
        <v>0</v>
      </c>
      <c r="O98" s="179" t="s">
        <v>149</v>
      </c>
    </row>
    <row r="99" spans="1:15">
      <c r="A99" s="380" t="s">
        <v>376</v>
      </c>
      <c r="B99" s="380" t="s">
        <v>443</v>
      </c>
      <c r="C99" s="380" t="s">
        <v>126</v>
      </c>
      <c r="D99" s="380" t="s">
        <v>425</v>
      </c>
      <c r="E99" s="380"/>
      <c r="F99" s="380">
        <v>7448000</v>
      </c>
      <c r="G99" s="380"/>
      <c r="H99" s="380">
        <v>620667</v>
      </c>
      <c r="I99" s="380">
        <v>-1159440</v>
      </c>
      <c r="J99" s="380">
        <v>1780107</v>
      </c>
      <c r="K99" s="380"/>
      <c r="L99" s="380">
        <v>3724001</v>
      </c>
      <c r="M99" s="380">
        <v>3724001</v>
      </c>
      <c r="N99" s="179">
        <v>0</v>
      </c>
      <c r="O99" s="179" t="s">
        <v>90</v>
      </c>
    </row>
    <row r="100" spans="1:15">
      <c r="A100" s="380" t="s">
        <v>376</v>
      </c>
      <c r="B100" s="380" t="s">
        <v>444</v>
      </c>
      <c r="C100" s="380" t="s">
        <v>188</v>
      </c>
      <c r="D100" s="380" t="s">
        <v>189</v>
      </c>
      <c r="E100" s="380"/>
      <c r="F100" s="380">
        <v>-8689000</v>
      </c>
      <c r="G100" s="380"/>
      <c r="H100" s="380">
        <v>250000</v>
      </c>
      <c r="I100" s="380">
        <v>0</v>
      </c>
      <c r="J100" s="380">
        <v>250000</v>
      </c>
      <c r="K100" s="380"/>
      <c r="L100" s="380">
        <v>0</v>
      </c>
      <c r="M100" s="380">
        <v>0</v>
      </c>
      <c r="N100" s="179">
        <v>0</v>
      </c>
      <c r="O100" s="179" t="s">
        <v>90</v>
      </c>
    </row>
    <row r="101" spans="1:15">
      <c r="A101" s="380" t="s">
        <v>376</v>
      </c>
      <c r="B101" s="380" t="s">
        <v>445</v>
      </c>
      <c r="C101" s="380" t="s">
        <v>188</v>
      </c>
      <c r="D101" s="380" t="s">
        <v>189</v>
      </c>
      <c r="E101" s="380"/>
      <c r="F101" s="380">
        <v>0</v>
      </c>
      <c r="G101" s="380"/>
      <c r="H101" s="380">
        <v>-416667</v>
      </c>
      <c r="I101" s="380">
        <v>-416667</v>
      </c>
      <c r="J101" s="380">
        <v>0</v>
      </c>
      <c r="K101" s="380"/>
      <c r="L101" s="380">
        <v>0</v>
      </c>
      <c r="M101" s="380">
        <v>0</v>
      </c>
      <c r="N101" s="179">
        <v>0</v>
      </c>
      <c r="O101" s="179" t="s">
        <v>90</v>
      </c>
    </row>
    <row r="102" spans="1:15">
      <c r="A102" s="380" t="s">
        <v>376</v>
      </c>
      <c r="B102" s="380" t="s">
        <v>442</v>
      </c>
      <c r="C102" s="380" t="s">
        <v>188</v>
      </c>
      <c r="D102" s="380" t="s">
        <v>189</v>
      </c>
      <c r="E102" s="380"/>
      <c r="F102" s="380">
        <v>0</v>
      </c>
      <c r="G102" s="380"/>
      <c r="H102" s="380">
        <v>-1</v>
      </c>
      <c r="I102" s="380">
        <v>0</v>
      </c>
      <c r="J102" s="380">
        <v>-1</v>
      </c>
      <c r="K102" s="380"/>
      <c r="L102" s="380">
        <v>6</v>
      </c>
      <c r="M102" s="380">
        <v>0</v>
      </c>
      <c r="N102" s="179">
        <v>6</v>
      </c>
      <c r="O102" s="179" t="s">
        <v>90</v>
      </c>
    </row>
    <row r="103" spans="1:15">
      <c r="A103" s="380" t="s">
        <v>376</v>
      </c>
      <c r="B103" s="380" t="s">
        <v>437</v>
      </c>
      <c r="C103" s="380" t="s">
        <v>391</v>
      </c>
      <c r="D103" s="380" t="s">
        <v>122</v>
      </c>
      <c r="E103" s="380"/>
      <c r="F103" s="380">
        <v>1668488</v>
      </c>
      <c r="G103" s="380"/>
      <c r="H103" s="380">
        <v>139041</v>
      </c>
      <c r="I103" s="380">
        <v>163002</v>
      </c>
      <c r="J103" s="380">
        <v>-23961</v>
      </c>
      <c r="K103" s="380"/>
      <c r="L103" s="380">
        <v>831756</v>
      </c>
      <c r="M103" s="380">
        <v>822887</v>
      </c>
      <c r="N103" s="179">
        <v>8869</v>
      </c>
      <c r="O103" s="179" t="s">
        <v>90</v>
      </c>
    </row>
    <row r="104" spans="1:15">
      <c r="A104" s="380" t="s">
        <v>376</v>
      </c>
      <c r="B104" s="380" t="s">
        <v>437</v>
      </c>
      <c r="C104" s="380" t="s">
        <v>167</v>
      </c>
      <c r="D104" s="380" t="s">
        <v>416</v>
      </c>
      <c r="E104" s="380"/>
      <c r="F104" s="380">
        <v>113177</v>
      </c>
      <c r="G104" s="380"/>
      <c r="H104" s="380">
        <v>9431</v>
      </c>
      <c r="I104" s="380">
        <v>7385</v>
      </c>
      <c r="J104" s="380">
        <v>2046</v>
      </c>
      <c r="K104" s="380"/>
      <c r="L104" s="380">
        <v>55887</v>
      </c>
      <c r="M104" s="380">
        <v>44309</v>
      </c>
      <c r="N104" s="179">
        <v>11578</v>
      </c>
      <c r="O104" s="179" t="s">
        <v>90</v>
      </c>
    </row>
    <row r="105" spans="1:15">
      <c r="A105" s="380" t="s">
        <v>376</v>
      </c>
      <c r="B105" s="380" t="s">
        <v>437</v>
      </c>
      <c r="C105" s="380" t="s">
        <v>139</v>
      </c>
      <c r="D105" s="380" t="s">
        <v>417</v>
      </c>
      <c r="E105" s="380"/>
      <c r="F105" s="380">
        <v>554338</v>
      </c>
      <c r="G105" s="380"/>
      <c r="H105" s="380">
        <v>46195</v>
      </c>
      <c r="I105" s="380">
        <v>43335</v>
      </c>
      <c r="J105" s="380">
        <v>2860</v>
      </c>
      <c r="K105" s="380"/>
      <c r="L105" s="380">
        <v>276064</v>
      </c>
      <c r="M105" s="380">
        <v>260009</v>
      </c>
      <c r="N105" s="179">
        <v>16055</v>
      </c>
      <c r="O105" s="179" t="s">
        <v>90</v>
      </c>
    </row>
    <row r="106" spans="1:15">
      <c r="A106" s="380" t="s">
        <v>376</v>
      </c>
      <c r="B106" s="380" t="s">
        <v>437</v>
      </c>
      <c r="C106" s="380" t="s">
        <v>411</v>
      </c>
      <c r="D106" s="380" t="s">
        <v>412</v>
      </c>
      <c r="E106" s="380"/>
      <c r="F106" s="380">
        <v>1301850</v>
      </c>
      <c r="G106" s="380"/>
      <c r="H106" s="380">
        <v>108488</v>
      </c>
      <c r="I106" s="380">
        <v>-7052214</v>
      </c>
      <c r="J106" s="380">
        <v>7160702</v>
      </c>
      <c r="K106" s="380"/>
      <c r="L106" s="380">
        <v>638494</v>
      </c>
      <c r="M106" s="380">
        <v>614947</v>
      </c>
      <c r="N106" s="179">
        <v>23547</v>
      </c>
      <c r="O106" s="179" t="s">
        <v>90</v>
      </c>
    </row>
    <row r="107" spans="1:15">
      <c r="A107" s="380" t="s">
        <v>376</v>
      </c>
      <c r="B107" s="380" t="s">
        <v>437</v>
      </c>
      <c r="C107" s="380" t="s">
        <v>134</v>
      </c>
      <c r="D107" s="380" t="s">
        <v>392</v>
      </c>
      <c r="E107" s="380"/>
      <c r="F107" s="380">
        <v>330255</v>
      </c>
      <c r="G107" s="380"/>
      <c r="H107" s="380">
        <v>27521</v>
      </c>
      <c r="I107" s="380">
        <v>21847</v>
      </c>
      <c r="J107" s="380">
        <v>5674</v>
      </c>
      <c r="K107" s="380"/>
      <c r="L107" s="380">
        <v>165139</v>
      </c>
      <c r="M107" s="380">
        <v>131083</v>
      </c>
      <c r="N107" s="179">
        <v>34056</v>
      </c>
      <c r="O107" s="179" t="s">
        <v>90</v>
      </c>
    </row>
    <row r="108" spans="1:15">
      <c r="A108" s="380" t="s">
        <v>376</v>
      </c>
      <c r="B108" s="380" t="s">
        <v>437</v>
      </c>
      <c r="C108" s="380" t="s">
        <v>140</v>
      </c>
      <c r="D108" s="380" t="s">
        <v>398</v>
      </c>
      <c r="E108" s="380"/>
      <c r="F108" s="380">
        <v>1764346</v>
      </c>
      <c r="G108" s="380"/>
      <c r="H108" s="380">
        <v>147029</v>
      </c>
      <c r="I108" s="380">
        <v>136508</v>
      </c>
      <c r="J108" s="380">
        <v>10521</v>
      </c>
      <c r="K108" s="380"/>
      <c r="L108" s="380">
        <v>878851</v>
      </c>
      <c r="M108" s="380">
        <v>819047</v>
      </c>
      <c r="N108" s="179">
        <v>59804</v>
      </c>
      <c r="O108" s="179" t="s">
        <v>90</v>
      </c>
    </row>
    <row r="109" spans="1:15">
      <c r="A109" s="380" t="s">
        <v>376</v>
      </c>
      <c r="B109" s="380" t="s">
        <v>437</v>
      </c>
      <c r="C109" s="380" t="s">
        <v>138</v>
      </c>
      <c r="D109" s="380" t="s">
        <v>395</v>
      </c>
      <c r="E109" s="380"/>
      <c r="F109" s="380">
        <v>1386575</v>
      </c>
      <c r="G109" s="380"/>
      <c r="H109" s="380">
        <v>115548</v>
      </c>
      <c r="I109" s="380">
        <v>103182</v>
      </c>
      <c r="J109" s="380">
        <v>12366</v>
      </c>
      <c r="K109" s="380"/>
      <c r="L109" s="380">
        <v>676951</v>
      </c>
      <c r="M109" s="380">
        <v>599090</v>
      </c>
      <c r="N109" s="179">
        <v>77861</v>
      </c>
      <c r="O109" s="179" t="s">
        <v>90</v>
      </c>
    </row>
    <row r="110" spans="1:15">
      <c r="A110" s="380" t="s">
        <v>376</v>
      </c>
      <c r="B110" s="380" t="s">
        <v>437</v>
      </c>
      <c r="C110" s="380" t="s">
        <v>166</v>
      </c>
      <c r="D110" s="380" t="s">
        <v>403</v>
      </c>
      <c r="E110" s="380"/>
      <c r="F110" s="380">
        <v>3345417</v>
      </c>
      <c r="G110" s="380"/>
      <c r="H110" s="380">
        <v>278785</v>
      </c>
      <c r="I110" s="380">
        <v>130968</v>
      </c>
      <c r="J110" s="380">
        <v>147817</v>
      </c>
      <c r="K110" s="380"/>
      <c r="L110" s="380">
        <v>1702701</v>
      </c>
      <c r="M110" s="380">
        <v>1611172</v>
      </c>
      <c r="N110" s="179">
        <v>91529</v>
      </c>
      <c r="O110" s="179" t="s">
        <v>90</v>
      </c>
    </row>
    <row r="111" spans="1:15">
      <c r="A111" s="380" t="s">
        <v>376</v>
      </c>
      <c r="B111" s="380" t="s">
        <v>437</v>
      </c>
      <c r="C111" s="380" t="s">
        <v>130</v>
      </c>
      <c r="D111" s="380" t="s">
        <v>402</v>
      </c>
      <c r="E111" s="380"/>
      <c r="F111" s="380">
        <v>3804744</v>
      </c>
      <c r="G111" s="380"/>
      <c r="H111" s="380">
        <v>317062</v>
      </c>
      <c r="I111" s="380">
        <v>298084</v>
      </c>
      <c r="J111" s="380">
        <v>18978</v>
      </c>
      <c r="K111" s="380"/>
      <c r="L111" s="380">
        <v>1909204</v>
      </c>
      <c r="M111" s="380">
        <v>1788503</v>
      </c>
      <c r="N111" s="179">
        <v>120701</v>
      </c>
      <c r="O111" s="179" t="s">
        <v>90</v>
      </c>
    </row>
    <row r="112" spans="1:15">
      <c r="A112" s="380" t="s">
        <v>376</v>
      </c>
      <c r="B112" s="380" t="s">
        <v>437</v>
      </c>
      <c r="C112" s="380" t="s">
        <v>129</v>
      </c>
      <c r="D112" s="380" t="s">
        <v>409</v>
      </c>
      <c r="E112" s="380"/>
      <c r="F112" s="380">
        <v>1099123</v>
      </c>
      <c r="G112" s="380"/>
      <c r="H112" s="380">
        <v>91594</v>
      </c>
      <c r="I112" s="380">
        <v>63986</v>
      </c>
      <c r="J112" s="380">
        <v>27608</v>
      </c>
      <c r="K112" s="380"/>
      <c r="L112" s="380">
        <v>606666</v>
      </c>
      <c r="M112" s="380">
        <v>427915</v>
      </c>
      <c r="N112" s="179">
        <v>178751</v>
      </c>
      <c r="O112" s="179" t="s">
        <v>90</v>
      </c>
    </row>
    <row r="113" spans="1:15">
      <c r="A113" s="380" t="s">
        <v>376</v>
      </c>
      <c r="B113" s="380" t="s">
        <v>445</v>
      </c>
      <c r="C113" s="380" t="s">
        <v>429</v>
      </c>
      <c r="D113" s="380" t="s">
        <v>430</v>
      </c>
      <c r="E113" s="380"/>
      <c r="F113" s="380">
        <v>972396</v>
      </c>
      <c r="G113" s="380"/>
      <c r="H113" s="380">
        <v>81033</v>
      </c>
      <c r="I113" s="380">
        <v>0</v>
      </c>
      <c r="J113" s="380">
        <v>81033</v>
      </c>
      <c r="K113" s="380"/>
      <c r="L113" s="380">
        <v>405165</v>
      </c>
      <c r="M113" s="380">
        <v>0</v>
      </c>
      <c r="N113" s="179">
        <v>405165</v>
      </c>
      <c r="O113" s="179" t="s">
        <v>90</v>
      </c>
    </row>
    <row r="114" spans="1:15">
      <c r="A114" s="380" t="s">
        <v>376</v>
      </c>
      <c r="B114" s="380" t="s">
        <v>437</v>
      </c>
      <c r="C114" s="380" t="s">
        <v>135</v>
      </c>
      <c r="D114" s="380" t="s">
        <v>414</v>
      </c>
      <c r="E114" s="380"/>
      <c r="F114" s="380">
        <v>86859823</v>
      </c>
      <c r="G114" s="380"/>
      <c r="H114" s="380">
        <v>7210652</v>
      </c>
      <c r="I114" s="380">
        <v>13937583</v>
      </c>
      <c r="J114" s="380">
        <v>-6726931</v>
      </c>
      <c r="K114" s="380"/>
      <c r="L114" s="380">
        <v>43363052</v>
      </c>
      <c r="M114" s="380">
        <v>42397779</v>
      </c>
      <c r="N114" s="179">
        <v>965273</v>
      </c>
      <c r="O114" s="179" t="s">
        <v>90</v>
      </c>
    </row>
    <row r="115" spans="1:15">
      <c r="A115" s="380"/>
      <c r="B115" s="380"/>
      <c r="C115" s="380"/>
      <c r="D115" s="380" t="s">
        <v>45</v>
      </c>
      <c r="E115" s="380"/>
      <c r="F115" s="380">
        <v>653002494</v>
      </c>
      <c r="G115" s="380"/>
      <c r="H115" s="380">
        <v>57020258</v>
      </c>
      <c r="I115" s="380">
        <v>56722069</v>
      </c>
      <c r="J115" s="380">
        <v>298189</v>
      </c>
      <c r="K115" s="380"/>
      <c r="L115" s="380">
        <v>339724878</v>
      </c>
      <c r="M115" s="380">
        <v>342879878</v>
      </c>
      <c r="N115" s="179">
        <v>-3155000</v>
      </c>
      <c r="O115" s="179" t="s">
        <v>12</v>
      </c>
    </row>
    <row r="116" spans="1:15">
      <c r="A116" s="380"/>
      <c r="B116" s="380"/>
      <c r="C116" s="380"/>
      <c r="D116" s="384"/>
      <c r="E116" s="384"/>
      <c r="F116" s="380"/>
      <c r="G116" s="384"/>
      <c r="H116" s="384"/>
      <c r="I116" s="384"/>
      <c r="J116" s="380"/>
      <c r="K116" s="384"/>
      <c r="L116" s="384"/>
      <c r="M116" s="384"/>
    </row>
    <row r="117" spans="1:15">
      <c r="A117" s="381"/>
      <c r="B117" s="381"/>
      <c r="C117" s="385"/>
      <c r="D117" s="385"/>
      <c r="E117" s="381"/>
      <c r="F117" s="385"/>
      <c r="G117" s="385"/>
      <c r="H117" s="385"/>
      <c r="I117" s="381"/>
      <c r="J117" s="385"/>
      <c r="K117" s="385"/>
      <c r="L117" s="385"/>
    </row>
    <row r="118" spans="1:15">
      <c r="B118" s="387"/>
      <c r="C118" s="387"/>
      <c r="D118" s="387"/>
      <c r="E118" s="387"/>
      <c r="F118" s="387"/>
      <c r="G118" s="387"/>
      <c r="H118" s="387"/>
      <c r="I118" s="387"/>
      <c r="J118" s="387"/>
      <c r="K118" s="387"/>
      <c r="L118" s="387"/>
      <c r="M118" s="387"/>
    </row>
    <row r="119" spans="1:15">
      <c r="B119" s="381"/>
      <c r="C119" s="381"/>
      <c r="D119" s="385"/>
      <c r="E119" s="385"/>
      <c r="F119" s="381"/>
      <c r="G119" s="385"/>
      <c r="H119" s="385"/>
      <c r="I119" s="385"/>
      <c r="J119" s="381"/>
      <c r="K119" s="385"/>
      <c r="L119" s="385"/>
      <c r="M119" s="385"/>
    </row>
    <row r="129" spans="2:19">
      <c r="G129" s="393"/>
      <c r="H129" s="393"/>
      <c r="I129" s="393"/>
    </row>
    <row r="130" spans="2:19">
      <c r="B130" s="380"/>
      <c r="C130" s="380"/>
      <c r="D130" s="380"/>
      <c r="E130" s="380"/>
      <c r="F130" s="380"/>
      <c r="G130" s="380"/>
      <c r="H130" s="380"/>
      <c r="I130" s="380"/>
      <c r="K130" s="387"/>
      <c r="L130" s="387"/>
      <c r="M130" s="387"/>
      <c r="N130" s="380"/>
      <c r="O130" s="380"/>
      <c r="P130" s="380"/>
      <c r="Q130" s="380"/>
      <c r="R130" s="380"/>
      <c r="S130" s="380"/>
    </row>
    <row r="131" spans="2:19">
      <c r="B131" s="380"/>
      <c r="C131" s="380"/>
      <c r="D131" s="380"/>
      <c r="E131" s="380"/>
      <c r="F131" s="380"/>
      <c r="G131" s="394"/>
      <c r="H131" s="394"/>
      <c r="I131" s="394"/>
      <c r="K131" s="380"/>
      <c r="L131" s="380"/>
      <c r="M131" s="380"/>
      <c r="N131" s="394"/>
      <c r="O131" s="394"/>
      <c r="P131" s="394"/>
      <c r="Q131" s="394"/>
      <c r="R131" s="394"/>
      <c r="S131" s="394"/>
    </row>
    <row r="132" spans="2:19">
      <c r="B132" s="380"/>
      <c r="C132" s="380"/>
      <c r="D132" s="380"/>
      <c r="E132" s="380"/>
      <c r="F132" s="380"/>
      <c r="G132" s="394"/>
      <c r="H132" s="394"/>
      <c r="I132" s="394"/>
      <c r="K132" s="380"/>
      <c r="L132" s="380"/>
      <c r="M132" s="380"/>
      <c r="N132" s="394"/>
      <c r="O132" s="394"/>
      <c r="P132" s="394"/>
      <c r="Q132" s="394"/>
      <c r="R132" s="394"/>
      <c r="S132" s="394"/>
    </row>
    <row r="133" spans="2:19">
      <c r="B133" s="380"/>
      <c r="C133" s="380"/>
      <c r="D133" s="380"/>
      <c r="E133" s="380"/>
      <c r="F133" s="380"/>
      <c r="G133" s="394"/>
      <c r="H133" s="394"/>
      <c r="I133" s="394"/>
      <c r="K133" s="380"/>
      <c r="L133" s="380"/>
      <c r="M133" s="380"/>
      <c r="N133" s="394"/>
      <c r="O133" s="394"/>
      <c r="P133" s="394"/>
      <c r="Q133" s="394"/>
      <c r="R133" s="394"/>
      <c r="S133" s="394"/>
    </row>
    <row r="134" spans="2:19">
      <c r="B134" s="380"/>
      <c r="C134" s="380"/>
      <c r="D134" s="380"/>
      <c r="E134" s="380"/>
      <c r="F134" s="380"/>
      <c r="G134" s="394"/>
      <c r="H134" s="394"/>
      <c r="I134" s="394"/>
      <c r="K134" s="380"/>
      <c r="L134" s="380"/>
      <c r="M134" s="380"/>
      <c r="N134" s="394"/>
      <c r="O134" s="394"/>
      <c r="P134" s="394"/>
      <c r="Q134" s="394"/>
      <c r="R134" s="394"/>
      <c r="S134" s="394"/>
    </row>
    <row r="135" spans="2:19">
      <c r="B135" s="380"/>
      <c r="C135" s="380"/>
      <c r="D135" s="380"/>
      <c r="E135" s="380"/>
      <c r="F135" s="380"/>
      <c r="G135" s="394"/>
      <c r="H135" s="394"/>
      <c r="I135" s="394"/>
      <c r="K135" s="380"/>
      <c r="L135" s="380"/>
      <c r="M135" s="380"/>
      <c r="N135" s="394"/>
      <c r="O135" s="394"/>
      <c r="P135" s="394"/>
      <c r="Q135" s="394"/>
      <c r="R135" s="394"/>
      <c r="S135" s="394"/>
    </row>
    <row r="136" spans="2:19">
      <c r="B136" s="380"/>
      <c r="C136" s="380"/>
      <c r="D136" s="380"/>
      <c r="E136" s="380"/>
      <c r="F136" s="380"/>
      <c r="G136" s="394"/>
      <c r="H136" s="394"/>
      <c r="I136" s="394"/>
      <c r="K136" s="380"/>
      <c r="L136" s="380"/>
      <c r="M136" s="380"/>
      <c r="N136" s="394"/>
      <c r="O136" s="394"/>
      <c r="P136" s="394"/>
      <c r="Q136" s="394"/>
      <c r="R136" s="394"/>
      <c r="S136" s="394"/>
    </row>
    <row r="137" spans="2:19">
      <c r="B137" s="380"/>
      <c r="C137" s="380"/>
      <c r="D137" s="380"/>
      <c r="E137" s="380"/>
      <c r="F137" s="380"/>
      <c r="G137" s="394"/>
      <c r="H137" s="394"/>
      <c r="I137" s="394"/>
      <c r="K137" s="380"/>
      <c r="L137" s="380"/>
      <c r="M137" s="380"/>
      <c r="N137" s="394"/>
      <c r="O137" s="394"/>
      <c r="P137" s="394"/>
      <c r="Q137" s="394"/>
      <c r="R137" s="394"/>
      <c r="S137" s="394"/>
    </row>
    <row r="138" spans="2:19">
      <c r="B138" s="380"/>
      <c r="C138" s="380"/>
      <c r="D138" s="380"/>
      <c r="E138" s="380"/>
      <c r="F138" s="380"/>
      <c r="G138" s="394"/>
      <c r="H138" s="394"/>
      <c r="I138" s="394"/>
      <c r="K138" s="380"/>
      <c r="L138" s="380"/>
      <c r="M138" s="380"/>
      <c r="N138" s="394"/>
      <c r="O138" s="394"/>
      <c r="P138" s="394"/>
      <c r="Q138" s="394"/>
      <c r="R138" s="394"/>
      <c r="S138" s="394"/>
    </row>
    <row r="139" spans="2:19">
      <c r="B139" s="380"/>
      <c r="C139" s="380"/>
      <c r="D139" s="380"/>
      <c r="E139" s="380"/>
      <c r="F139" s="380"/>
      <c r="G139" s="394"/>
      <c r="H139" s="394"/>
      <c r="I139" s="394"/>
      <c r="K139" s="381"/>
      <c r="L139" s="381"/>
      <c r="M139" s="385"/>
      <c r="N139" s="395"/>
      <c r="O139" s="395"/>
      <c r="P139" s="395"/>
      <c r="Q139" s="395"/>
      <c r="R139" s="395"/>
      <c r="S139" s="395"/>
    </row>
    <row r="140" spans="2:19">
      <c r="B140" s="380"/>
      <c r="C140" s="380"/>
      <c r="D140" s="380"/>
      <c r="E140" s="380"/>
      <c r="F140" s="380"/>
      <c r="G140" s="394"/>
      <c r="H140" s="394"/>
      <c r="I140" s="394"/>
      <c r="K140" s="387"/>
      <c r="L140" s="387"/>
      <c r="M140" s="387"/>
      <c r="N140" s="387"/>
      <c r="O140" s="387"/>
      <c r="P140" s="387"/>
      <c r="Q140" s="387"/>
      <c r="R140" s="387"/>
      <c r="S140" s="387"/>
    </row>
    <row r="141" spans="2:19">
      <c r="B141" s="381"/>
      <c r="C141" s="381"/>
      <c r="D141" s="385"/>
      <c r="E141" s="381"/>
      <c r="F141" s="385"/>
      <c r="G141" s="395"/>
      <c r="H141" s="395"/>
      <c r="I141" s="395"/>
      <c r="K141" s="387"/>
      <c r="L141" s="387"/>
      <c r="M141" s="387"/>
      <c r="N141" s="387"/>
      <c r="O141" s="387"/>
      <c r="P141" s="387"/>
      <c r="Q141" s="387"/>
      <c r="R141" s="387"/>
      <c r="S141" s="387"/>
    </row>
    <row r="142" spans="2:19" ht="15">
      <c r="B142" s="389"/>
      <c r="C142" s="389"/>
      <c r="D142" s="389"/>
      <c r="E142" s="389"/>
      <c r="F142" s="389"/>
      <c r="G142" s="389"/>
      <c r="H142" s="389"/>
      <c r="I142" s="389"/>
      <c r="K142" s="380"/>
      <c r="L142" s="380"/>
      <c r="M142" s="380"/>
      <c r="N142" s="394"/>
      <c r="O142" s="394"/>
      <c r="P142" s="394"/>
      <c r="Q142" s="394"/>
      <c r="R142" s="394"/>
      <c r="S142" s="394"/>
    </row>
    <row r="143" spans="2:19" ht="15">
      <c r="B143" s="389"/>
      <c r="C143" s="389"/>
      <c r="D143" s="389"/>
      <c r="E143" s="389"/>
      <c r="F143" s="389"/>
      <c r="G143" s="389"/>
      <c r="H143" s="389"/>
      <c r="I143" s="389"/>
      <c r="K143" s="380"/>
      <c r="L143" s="380"/>
      <c r="M143" s="380"/>
      <c r="N143" s="394"/>
      <c r="O143" s="394"/>
      <c r="P143" s="394"/>
      <c r="Q143" s="394"/>
      <c r="R143" s="394"/>
      <c r="S143" s="394"/>
    </row>
    <row r="144" spans="2:19">
      <c r="B144" s="380"/>
      <c r="C144" s="380"/>
      <c r="D144" s="380"/>
      <c r="E144" s="380"/>
      <c r="F144" s="380"/>
      <c r="G144" s="380"/>
      <c r="H144" s="380"/>
      <c r="I144" s="380"/>
      <c r="K144" s="380"/>
      <c r="L144" s="380"/>
      <c r="M144" s="380"/>
      <c r="N144" s="394"/>
      <c r="O144" s="394"/>
      <c r="P144" s="394"/>
      <c r="Q144" s="394"/>
      <c r="R144" s="394"/>
      <c r="S144" s="394"/>
    </row>
    <row r="145" spans="2:19">
      <c r="B145" s="380"/>
      <c r="C145" s="380"/>
      <c r="D145" s="380"/>
      <c r="E145" s="380"/>
      <c r="F145" s="380"/>
      <c r="G145" s="394"/>
      <c r="H145" s="394"/>
      <c r="I145" s="394"/>
      <c r="K145" s="380"/>
      <c r="L145" s="380"/>
      <c r="M145" s="380"/>
      <c r="N145" s="394"/>
      <c r="O145" s="394"/>
      <c r="P145" s="394"/>
      <c r="Q145" s="394"/>
      <c r="R145" s="394"/>
      <c r="S145" s="394"/>
    </row>
    <row r="146" spans="2:19">
      <c r="B146" s="380"/>
      <c r="C146" s="380"/>
      <c r="D146" s="380"/>
      <c r="E146" s="380"/>
      <c r="F146" s="380"/>
      <c r="G146" s="394"/>
      <c r="H146" s="394"/>
      <c r="I146" s="394"/>
      <c r="K146" s="380"/>
      <c r="L146" s="380"/>
      <c r="M146" s="380"/>
      <c r="N146" s="394"/>
      <c r="O146" s="394"/>
      <c r="P146" s="394"/>
      <c r="Q146" s="394"/>
      <c r="R146" s="394"/>
      <c r="S146" s="394"/>
    </row>
    <row r="147" spans="2:19">
      <c r="B147" s="380"/>
      <c r="C147" s="380"/>
      <c r="D147" s="380"/>
      <c r="E147" s="380"/>
      <c r="F147" s="380"/>
      <c r="G147" s="394"/>
      <c r="H147" s="394"/>
      <c r="I147" s="394"/>
      <c r="K147" s="380"/>
      <c r="L147" s="380"/>
      <c r="M147" s="380"/>
      <c r="N147" s="394"/>
      <c r="O147" s="394"/>
      <c r="P147" s="394"/>
      <c r="Q147" s="394"/>
      <c r="R147" s="394"/>
      <c r="S147" s="394"/>
    </row>
    <row r="148" spans="2:19">
      <c r="B148" s="380"/>
      <c r="C148" s="380"/>
      <c r="D148" s="380"/>
      <c r="E148" s="380"/>
      <c r="F148" s="380"/>
      <c r="G148" s="394"/>
      <c r="H148" s="394"/>
      <c r="I148" s="394"/>
      <c r="K148" s="380"/>
      <c r="L148" s="380"/>
      <c r="M148" s="380"/>
      <c r="N148" s="394"/>
      <c r="O148" s="394"/>
      <c r="P148" s="394"/>
      <c r="Q148" s="394"/>
      <c r="R148" s="394"/>
      <c r="S148" s="394"/>
    </row>
    <row r="149" spans="2:19">
      <c r="B149" s="380"/>
      <c r="C149" s="380"/>
      <c r="D149" s="380"/>
      <c r="E149" s="380"/>
      <c r="F149" s="380"/>
      <c r="G149" s="394"/>
      <c r="H149" s="394"/>
      <c r="I149" s="394"/>
      <c r="K149" s="380"/>
      <c r="L149" s="380"/>
      <c r="M149" s="380"/>
      <c r="N149" s="394"/>
      <c r="O149" s="394"/>
      <c r="P149" s="394"/>
      <c r="Q149" s="394"/>
      <c r="R149" s="394"/>
      <c r="S149" s="394"/>
    </row>
    <row r="150" spans="2:19">
      <c r="B150" s="380"/>
      <c r="C150" s="380"/>
      <c r="D150" s="380"/>
      <c r="E150" s="380"/>
      <c r="F150" s="380"/>
      <c r="G150" s="394"/>
      <c r="H150" s="394"/>
      <c r="I150" s="394"/>
      <c r="K150" s="380"/>
      <c r="L150" s="380"/>
      <c r="M150" s="380"/>
      <c r="N150" s="394"/>
      <c r="O150" s="394"/>
      <c r="P150" s="394"/>
      <c r="Q150" s="394"/>
      <c r="R150" s="394"/>
      <c r="S150" s="394"/>
    </row>
    <row r="151" spans="2:19">
      <c r="B151" s="380"/>
      <c r="C151" s="380"/>
      <c r="D151" s="380"/>
      <c r="E151" s="380"/>
      <c r="F151" s="380"/>
      <c r="G151" s="394"/>
      <c r="H151" s="394"/>
      <c r="I151" s="394"/>
      <c r="K151" s="380"/>
      <c r="L151" s="380"/>
      <c r="M151" s="380"/>
      <c r="N151" s="394"/>
      <c r="O151" s="394"/>
      <c r="P151" s="394"/>
      <c r="Q151" s="394"/>
      <c r="R151" s="394"/>
      <c r="S151" s="394"/>
    </row>
    <row r="152" spans="2:19">
      <c r="B152" s="380"/>
      <c r="C152" s="380"/>
      <c r="D152" s="380"/>
      <c r="E152" s="380"/>
      <c r="F152" s="380"/>
      <c r="G152" s="394"/>
      <c r="H152" s="394"/>
      <c r="I152" s="394"/>
      <c r="K152" s="380"/>
      <c r="L152" s="380"/>
      <c r="M152" s="380"/>
      <c r="N152" s="394"/>
      <c r="O152" s="394"/>
      <c r="P152" s="394"/>
      <c r="Q152" s="394"/>
      <c r="R152" s="394"/>
      <c r="S152" s="394"/>
    </row>
    <row r="153" spans="2:19">
      <c r="B153" s="380"/>
      <c r="C153" s="380"/>
      <c r="D153" s="380"/>
      <c r="E153" s="380"/>
      <c r="F153" s="380"/>
      <c r="G153" s="394"/>
      <c r="H153" s="394"/>
      <c r="I153" s="394"/>
      <c r="K153" s="380"/>
      <c r="L153" s="380"/>
      <c r="M153" s="380"/>
      <c r="N153" s="394"/>
      <c r="O153" s="394"/>
      <c r="P153" s="394"/>
      <c r="Q153" s="394"/>
      <c r="R153" s="394"/>
      <c r="S153" s="394"/>
    </row>
    <row r="154" spans="2:19">
      <c r="B154" s="380"/>
      <c r="C154" s="380"/>
      <c r="D154" s="380"/>
      <c r="E154" s="380"/>
      <c r="F154" s="380"/>
      <c r="G154" s="394"/>
      <c r="H154" s="394"/>
      <c r="I154" s="394"/>
      <c r="K154" s="381"/>
      <c r="L154" s="381"/>
      <c r="M154" s="385"/>
      <c r="N154" s="395"/>
      <c r="O154" s="395"/>
      <c r="P154" s="395"/>
      <c r="Q154" s="395"/>
      <c r="R154" s="395"/>
      <c r="S154" s="395"/>
    </row>
    <row r="155" spans="2:19">
      <c r="B155" s="380"/>
      <c r="C155" s="380"/>
      <c r="D155" s="380"/>
      <c r="E155" s="380"/>
      <c r="F155" s="380"/>
      <c r="G155" s="394"/>
      <c r="H155" s="394"/>
      <c r="I155" s="394"/>
      <c r="K155" s="387"/>
      <c r="L155" s="387"/>
      <c r="M155" s="387"/>
      <c r="N155" s="387"/>
      <c r="O155" s="387"/>
      <c r="P155" s="387"/>
      <c r="Q155" s="387"/>
      <c r="R155" s="387"/>
      <c r="S155" s="387"/>
    </row>
    <row r="156" spans="2:19">
      <c r="B156" s="380"/>
      <c r="C156" s="380"/>
      <c r="D156" s="380"/>
      <c r="E156" s="380"/>
      <c r="F156" s="380"/>
      <c r="G156" s="394"/>
      <c r="H156" s="394"/>
      <c r="I156" s="394"/>
      <c r="K156" s="381"/>
      <c r="L156" s="381"/>
      <c r="M156" s="385"/>
      <c r="N156" s="395"/>
      <c r="O156" s="395"/>
      <c r="P156" s="395"/>
      <c r="Q156" s="395"/>
      <c r="R156" s="395"/>
      <c r="S156" s="395"/>
    </row>
    <row r="157" spans="2:19">
      <c r="B157" s="380"/>
      <c r="C157" s="380"/>
      <c r="D157" s="380"/>
      <c r="E157" s="380"/>
      <c r="F157" s="380"/>
      <c r="G157" s="394"/>
      <c r="H157" s="394"/>
      <c r="I157" s="394"/>
      <c r="K157" s="390"/>
      <c r="L157" s="390"/>
      <c r="M157" s="391"/>
      <c r="N157" s="396"/>
      <c r="O157" s="396"/>
      <c r="P157" s="396"/>
      <c r="Q157" s="396"/>
      <c r="R157" s="396"/>
      <c r="S157" s="396"/>
    </row>
    <row r="158" spans="2:19">
      <c r="B158" s="380"/>
      <c r="C158" s="380"/>
      <c r="D158" s="380"/>
      <c r="E158" s="380"/>
      <c r="F158" s="380"/>
      <c r="G158" s="394"/>
      <c r="H158" s="394"/>
      <c r="I158" s="394"/>
      <c r="K158" s="390"/>
      <c r="L158" s="390"/>
      <c r="M158" s="391"/>
      <c r="N158" s="396"/>
      <c r="O158" s="396"/>
      <c r="P158" s="396"/>
      <c r="Q158" s="396"/>
      <c r="R158" s="396"/>
      <c r="S158" s="396"/>
    </row>
    <row r="159" spans="2:19">
      <c r="B159" s="380"/>
      <c r="C159" s="380"/>
      <c r="D159" s="380"/>
      <c r="E159" s="380"/>
      <c r="F159" s="380"/>
      <c r="G159" s="394"/>
      <c r="H159" s="394"/>
      <c r="I159" s="394"/>
    </row>
    <row r="160" spans="2:19">
      <c r="B160" s="381"/>
      <c r="C160" s="381"/>
      <c r="D160" s="385"/>
      <c r="E160" s="381"/>
      <c r="F160" s="385"/>
      <c r="G160" s="395"/>
      <c r="H160" s="395"/>
      <c r="I160" s="395"/>
    </row>
    <row r="161" spans="2:9">
      <c r="B161" s="387"/>
      <c r="C161" s="387"/>
      <c r="D161" s="387"/>
      <c r="E161" s="387"/>
      <c r="F161" s="387"/>
      <c r="G161" s="387"/>
      <c r="H161" s="387"/>
      <c r="I161" s="387"/>
    </row>
    <row r="162" spans="2:9">
      <c r="B162" s="381"/>
      <c r="C162" s="381"/>
      <c r="D162" s="385"/>
      <c r="E162" s="381"/>
      <c r="F162" s="385"/>
      <c r="G162" s="395"/>
      <c r="H162" s="395"/>
      <c r="I162" s="395"/>
    </row>
    <row r="163" spans="2:9">
      <c r="B163" s="390"/>
      <c r="C163" s="390"/>
      <c r="D163" s="391"/>
      <c r="E163" s="392"/>
      <c r="F163" s="397"/>
      <c r="G163" s="396"/>
      <c r="H163" s="396"/>
      <c r="I163" s="396"/>
    </row>
    <row r="164" spans="2:9" ht="15">
      <c r="B164" s="389"/>
      <c r="C164" s="389"/>
      <c r="D164" s="389"/>
      <c r="E164" s="389"/>
      <c r="F164" s="389"/>
      <c r="G164" s="389"/>
      <c r="H164" s="389"/>
      <c r="I164" s="389"/>
    </row>
    <row r="165" spans="2:9">
      <c r="B165" s="390"/>
      <c r="C165" s="390"/>
      <c r="D165" s="391"/>
      <c r="E165" s="392"/>
      <c r="F165" s="397"/>
      <c r="G165" s="396"/>
      <c r="H165" s="396"/>
      <c r="I165" s="396"/>
    </row>
    <row r="166" spans="2:9">
      <c r="B166" s="398"/>
      <c r="C166" s="398"/>
      <c r="D166" s="398"/>
      <c r="E166" s="398"/>
      <c r="F166" s="398"/>
      <c r="G166" s="399"/>
      <c r="H166" s="399"/>
      <c r="I166" s="399"/>
    </row>
    <row r="167" spans="2:9">
      <c r="B167" s="398"/>
      <c r="C167" s="398"/>
      <c r="D167" s="398"/>
      <c r="E167" s="398"/>
      <c r="F167" s="398"/>
      <c r="G167" s="399"/>
      <c r="H167" s="399"/>
      <c r="I167" s="399"/>
    </row>
    <row r="168" spans="2:9">
      <c r="B168" s="398"/>
      <c r="C168" s="398"/>
      <c r="D168" s="398"/>
      <c r="E168" s="398"/>
      <c r="F168" s="398"/>
      <c r="G168" s="399"/>
      <c r="H168" s="399"/>
      <c r="I168" s="399"/>
    </row>
    <row r="169" spans="2:9">
      <c r="B169" s="390"/>
      <c r="C169" s="390"/>
      <c r="D169" s="391"/>
      <c r="E169" s="392"/>
      <c r="F169" s="397"/>
      <c r="G169" s="396"/>
      <c r="H169" s="396"/>
      <c r="I169" s="396"/>
    </row>
    <row r="171" spans="2:9">
      <c r="G171" s="400"/>
      <c r="H171" s="400"/>
      <c r="I171" s="400"/>
    </row>
  </sheetData>
  <sortState ref="A80:U114">
    <sortCondition ref="N80:N114"/>
  </sortState>
  <customSheetViews>
    <customSheetView guid="{14394872-1C6D-42D5-AD0E-8F152B5DEE00}" fitToPage="1" topLeftCell="A64">
      <selection activeCell="I94" sqref="I94"/>
      <pageMargins left="0.75" right="0.75" top="1" bottom="1" header="0.5" footer="0.5"/>
      <pageSetup paperSize="9" scale="58" orientation="landscape" r:id="rId1"/>
      <headerFooter alignWithMargins="0"/>
    </customSheetView>
  </customSheetViews>
  <phoneticPr fontId="2" type="noConversion"/>
  <pageMargins left="0.75" right="0.75" top="1" bottom="1" header="0.5" footer="0.5"/>
  <pageSetup paperSize="9" scale="58" orientation="landscape" r:id="rId2"/>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K23"/>
  <sheetViews>
    <sheetView showGridLines="0" topLeftCell="A7" zoomScaleNormal="100" workbookViewId="0">
      <selection activeCell="K10" sqref="K10:K11"/>
    </sheetView>
  </sheetViews>
  <sheetFormatPr defaultRowHeight="12.75"/>
  <cols>
    <col min="1" max="1" width="80.85546875" bestFit="1" customWidth="1"/>
    <col min="2" max="2" width="1.7109375" customWidth="1"/>
    <col min="3" max="3" width="9.28515625" bestFit="1" customWidth="1"/>
    <col min="4" max="4" width="1.7109375" customWidth="1"/>
    <col min="5" max="5" width="9.28515625" bestFit="1" customWidth="1"/>
    <col min="6" max="6" width="1.7109375" customWidth="1"/>
    <col min="7" max="7" width="9.28515625" hidden="1" customWidth="1"/>
    <col min="8" max="8" width="1.7109375" hidden="1" customWidth="1"/>
    <col min="10" max="10" width="1.7109375" customWidth="1"/>
  </cols>
  <sheetData>
    <row r="1" spans="1:11">
      <c r="A1" s="1" t="str">
        <f>Index!B1</f>
        <v>Finance Report Month 6 2011/12 - NHS Ealing, NHS Hillingdon and NHS Hounslow</v>
      </c>
      <c r="B1" s="1"/>
      <c r="C1" s="1"/>
    </row>
    <row r="2" spans="1:11">
      <c r="A2" s="1"/>
      <c r="B2" s="1"/>
    </row>
    <row r="3" spans="1:11">
      <c r="A3" s="1"/>
    </row>
    <row r="5" spans="1:11">
      <c r="A5" s="1" t="s">
        <v>91</v>
      </c>
      <c r="B5" s="1"/>
    </row>
    <row r="6" spans="1:11">
      <c r="A6" s="1"/>
      <c r="B6" s="1"/>
    </row>
    <row r="7" spans="1:11">
      <c r="A7" s="1" t="s">
        <v>61</v>
      </c>
      <c r="B7" s="1"/>
    </row>
    <row r="8" spans="1:11" s="2" customFormat="1" ht="24">
      <c r="A8" s="89" t="s">
        <v>27</v>
      </c>
      <c r="B8" s="6"/>
      <c r="C8" s="304" t="s">
        <v>206</v>
      </c>
      <c r="D8" s="305"/>
      <c r="E8" s="304" t="s">
        <v>207</v>
      </c>
      <c r="F8" s="305"/>
      <c r="G8" s="304" t="s">
        <v>102</v>
      </c>
      <c r="H8" s="306"/>
      <c r="I8" s="307" t="s">
        <v>208</v>
      </c>
      <c r="J8" s="306"/>
      <c r="K8" s="307" t="s">
        <v>16</v>
      </c>
    </row>
    <row r="9" spans="1:11" ht="15">
      <c r="A9" s="1"/>
      <c r="B9" s="1"/>
      <c r="C9" s="115"/>
      <c r="D9" s="115"/>
      <c r="E9" s="115"/>
      <c r="F9" s="115"/>
      <c r="G9" s="115"/>
      <c r="K9" s="4"/>
    </row>
    <row r="10" spans="1:11" ht="15" customHeight="1">
      <c r="A10" s="88" t="s">
        <v>209</v>
      </c>
      <c r="B10" s="15"/>
      <c r="C10" s="435" t="s">
        <v>12</v>
      </c>
      <c r="D10" s="116"/>
      <c r="E10" s="435" t="s">
        <v>90</v>
      </c>
      <c r="F10" s="117"/>
      <c r="G10" s="439">
        <v>19380</v>
      </c>
      <c r="H10" s="28"/>
      <c r="I10" s="435" t="s">
        <v>90</v>
      </c>
      <c r="J10" s="85"/>
      <c r="K10" s="437" t="s">
        <v>327</v>
      </c>
    </row>
    <row r="11" spans="1:11" ht="44.25" customHeight="1">
      <c r="A11" s="341" t="s">
        <v>326</v>
      </c>
      <c r="B11" s="12"/>
      <c r="C11" s="436"/>
      <c r="D11" s="118"/>
      <c r="E11" s="436"/>
      <c r="F11" s="118"/>
      <c r="G11" s="440"/>
      <c r="H11" s="29"/>
      <c r="I11" s="436"/>
      <c r="J11" s="31"/>
      <c r="K11" s="438"/>
    </row>
    <row r="12" spans="1:11" ht="15">
      <c r="C12" s="115"/>
      <c r="D12" s="115"/>
      <c r="E12" s="115"/>
      <c r="F12" s="115"/>
      <c r="G12" s="119"/>
      <c r="H12" s="16"/>
      <c r="I12" s="18"/>
      <c r="J12" s="18"/>
      <c r="K12" s="17"/>
    </row>
    <row r="13" spans="1:11" ht="15" customHeight="1">
      <c r="A13" s="88" t="s">
        <v>165</v>
      </c>
      <c r="B13" s="15"/>
      <c r="C13" s="435" t="s">
        <v>90</v>
      </c>
      <c r="D13" s="192"/>
      <c r="E13" s="435" t="s">
        <v>90</v>
      </c>
      <c r="F13" s="192"/>
      <c r="G13" s="442">
        <v>6533</v>
      </c>
      <c r="H13" s="28"/>
      <c r="I13" s="435" t="s">
        <v>90</v>
      </c>
      <c r="J13" s="30"/>
      <c r="K13" s="437" t="s">
        <v>20</v>
      </c>
    </row>
    <row r="14" spans="1:11" ht="49.5" customHeight="1">
      <c r="A14" s="341" t="s">
        <v>309</v>
      </c>
      <c r="B14" s="19"/>
      <c r="C14" s="436"/>
      <c r="D14" s="193"/>
      <c r="E14" s="436"/>
      <c r="F14" s="193"/>
      <c r="G14" s="443"/>
      <c r="H14" s="29"/>
      <c r="I14" s="436"/>
      <c r="J14" s="31"/>
      <c r="K14" s="438"/>
    </row>
    <row r="15" spans="1:11" ht="15">
      <c r="C15" s="115"/>
      <c r="D15" s="115"/>
      <c r="E15" s="115"/>
      <c r="F15" s="115"/>
      <c r="G15" s="115"/>
      <c r="I15" s="180"/>
      <c r="J15" s="20"/>
      <c r="K15" s="4"/>
    </row>
    <row r="16" spans="1:11" ht="15" customHeight="1">
      <c r="A16" s="88" t="s">
        <v>95</v>
      </c>
      <c r="B16" s="15"/>
      <c r="C16" s="435" t="s">
        <v>90</v>
      </c>
      <c r="D16" s="192"/>
      <c r="E16" s="441" t="s">
        <v>90</v>
      </c>
      <c r="F16" s="192"/>
      <c r="G16" s="442">
        <v>100</v>
      </c>
      <c r="H16" s="28"/>
      <c r="I16" s="435" t="s">
        <v>90</v>
      </c>
      <c r="J16" s="30"/>
      <c r="K16" s="437" t="s">
        <v>20</v>
      </c>
    </row>
    <row r="17" spans="1:11" ht="75" customHeight="1">
      <c r="A17" s="94" t="s">
        <v>303</v>
      </c>
      <c r="B17" s="19"/>
      <c r="C17" s="436"/>
      <c r="D17" s="193"/>
      <c r="E17" s="436"/>
      <c r="F17" s="194"/>
      <c r="G17" s="443"/>
      <c r="H17" s="29"/>
      <c r="I17" s="436"/>
      <c r="J17" s="31"/>
      <c r="K17" s="438"/>
    </row>
    <row r="18" spans="1:11" ht="15">
      <c r="C18" s="115"/>
      <c r="D18" s="115"/>
      <c r="E18" s="115"/>
      <c r="F18" s="115"/>
      <c r="G18" s="115"/>
      <c r="I18" s="20"/>
      <c r="J18" s="20"/>
      <c r="K18" s="4"/>
    </row>
    <row r="19" spans="1:11">
      <c r="A19" s="88" t="s">
        <v>234</v>
      </c>
      <c r="B19" s="15"/>
      <c r="C19" s="441" t="s">
        <v>90</v>
      </c>
      <c r="D19" s="192"/>
      <c r="E19" s="441" t="s">
        <v>90</v>
      </c>
      <c r="F19" s="192"/>
      <c r="G19" s="442">
        <v>100</v>
      </c>
      <c r="H19" s="28"/>
      <c r="I19" s="441" t="s">
        <v>90</v>
      </c>
      <c r="J19" s="30"/>
      <c r="K19" s="437" t="s">
        <v>20</v>
      </c>
    </row>
    <row r="20" spans="1:11">
      <c r="A20" s="95"/>
      <c r="B20" s="19"/>
      <c r="C20" s="436"/>
      <c r="D20" s="193"/>
      <c r="E20" s="436"/>
      <c r="F20" s="194"/>
      <c r="G20" s="443"/>
      <c r="H20" s="29"/>
      <c r="I20" s="436"/>
      <c r="J20" s="31"/>
      <c r="K20" s="438"/>
    </row>
    <row r="21" spans="1:11" ht="15">
      <c r="C21" s="115"/>
      <c r="D21" s="115"/>
      <c r="E21" s="115"/>
      <c r="F21" s="115"/>
      <c r="G21" s="115"/>
      <c r="I21" s="20"/>
      <c r="J21" s="20"/>
      <c r="K21" s="4"/>
    </row>
    <row r="22" spans="1:11" ht="15" customHeight="1">
      <c r="A22" s="98" t="s">
        <v>256</v>
      </c>
      <c r="B22" s="15"/>
      <c r="C22" s="308">
        <v>0.95860000000000001</v>
      </c>
      <c r="D22" s="121"/>
      <c r="E22" s="308">
        <v>0.9516</v>
      </c>
      <c r="F22" s="121"/>
      <c r="G22" s="120">
        <v>0.85</v>
      </c>
      <c r="H22" s="86"/>
      <c r="I22" s="432">
        <v>0.94320000000000004</v>
      </c>
      <c r="J22" s="188"/>
      <c r="K22" s="433" t="s">
        <v>327</v>
      </c>
    </row>
    <row r="23" spans="1:11" ht="15" customHeight="1">
      <c r="A23" s="300" t="s">
        <v>257</v>
      </c>
      <c r="B23" s="96"/>
      <c r="C23" s="328">
        <v>0.7177</v>
      </c>
      <c r="D23" s="123"/>
      <c r="E23" s="328">
        <v>0.57379999999999998</v>
      </c>
      <c r="F23" s="123"/>
      <c r="G23" s="122">
        <v>0.95</v>
      </c>
      <c r="H23" s="97"/>
      <c r="I23" s="328">
        <v>0.75119999999999998</v>
      </c>
      <c r="J23" s="125"/>
      <c r="K23" s="433" t="s">
        <v>327</v>
      </c>
    </row>
  </sheetData>
  <customSheetViews>
    <customSheetView guid="{14394872-1C6D-42D5-AD0E-8F152B5DEE00}" showGridLines="0" fitToPage="1" hiddenColumns="1">
      <selection activeCell="A27" sqref="A27"/>
      <pageMargins left="0.75" right="0.75" top="1" bottom="1" header="0.5" footer="0.5"/>
      <pageSetup paperSize="9" orientation="landscape" r:id="rId1"/>
      <headerFooter alignWithMargins="0"/>
    </customSheetView>
  </customSheetViews>
  <mergeCells count="20">
    <mergeCell ref="K19:K20"/>
    <mergeCell ref="C19:C20"/>
    <mergeCell ref="E19:E20"/>
    <mergeCell ref="G19:G20"/>
    <mergeCell ref="I19:I20"/>
    <mergeCell ref="C10:C11"/>
    <mergeCell ref="E10:E11"/>
    <mergeCell ref="I10:I11"/>
    <mergeCell ref="K16:K17"/>
    <mergeCell ref="C16:C17"/>
    <mergeCell ref="G10:G11"/>
    <mergeCell ref="K10:K11"/>
    <mergeCell ref="K13:K14"/>
    <mergeCell ref="E16:E17"/>
    <mergeCell ref="G16:G17"/>
    <mergeCell ref="C13:C14"/>
    <mergeCell ref="E13:E14"/>
    <mergeCell ref="G13:G14"/>
    <mergeCell ref="I16:I17"/>
    <mergeCell ref="I13:I14"/>
  </mergeCells>
  <phoneticPr fontId="2" type="noConversion"/>
  <conditionalFormatting sqref="J10:J13 I12 C16 C10 E19 E16 I21 J21:J23 C19 I18:J19 I15:J16">
    <cfRule type="cellIs" dxfId="50" priority="16" stopIfTrue="1" operator="equal">
      <formula>"GREEN"</formula>
    </cfRule>
    <cfRule type="cellIs" dxfId="49" priority="17" stopIfTrue="1" operator="equal">
      <formula>"RED"</formula>
    </cfRule>
    <cfRule type="cellIs" dxfId="48" priority="18" stopIfTrue="1" operator="equal">
      <formula>"AMBER"</formula>
    </cfRule>
  </conditionalFormatting>
  <conditionalFormatting sqref="E10">
    <cfRule type="cellIs" dxfId="47" priority="13" stopIfTrue="1" operator="equal">
      <formula>"GREEN"</formula>
    </cfRule>
    <cfRule type="cellIs" dxfId="46" priority="14" stopIfTrue="1" operator="equal">
      <formula>"RED"</formula>
    </cfRule>
    <cfRule type="cellIs" dxfId="45" priority="15" stopIfTrue="1" operator="equal">
      <formula>"AMBER"</formula>
    </cfRule>
  </conditionalFormatting>
  <conditionalFormatting sqref="I10">
    <cfRule type="cellIs" dxfId="44" priority="10" stopIfTrue="1" operator="equal">
      <formula>"GREEN"</formula>
    </cfRule>
    <cfRule type="cellIs" dxfId="43" priority="11" stopIfTrue="1" operator="equal">
      <formula>"RED"</formula>
    </cfRule>
    <cfRule type="cellIs" dxfId="42" priority="12" stopIfTrue="1" operator="equal">
      <formula>"AMBER"</formula>
    </cfRule>
  </conditionalFormatting>
  <conditionalFormatting sqref="I13">
    <cfRule type="cellIs" dxfId="41" priority="7" stopIfTrue="1" operator="equal">
      <formula>"GREEN"</formula>
    </cfRule>
    <cfRule type="cellIs" dxfId="40" priority="8" stopIfTrue="1" operator="equal">
      <formula>"RED"</formula>
    </cfRule>
    <cfRule type="cellIs" dxfId="39" priority="9" stopIfTrue="1" operator="equal">
      <formula>"AMBER"</formula>
    </cfRule>
  </conditionalFormatting>
  <conditionalFormatting sqref="E13">
    <cfRule type="cellIs" dxfId="38" priority="4" stopIfTrue="1" operator="equal">
      <formula>"GREEN"</formula>
    </cfRule>
    <cfRule type="cellIs" dxfId="37" priority="5" stopIfTrue="1" operator="equal">
      <formula>"RED"</formula>
    </cfRule>
    <cfRule type="cellIs" dxfId="36" priority="6" stopIfTrue="1" operator="equal">
      <formula>"AMBER"</formula>
    </cfRule>
  </conditionalFormatting>
  <conditionalFormatting sqref="C13">
    <cfRule type="cellIs" dxfId="35" priority="1" stopIfTrue="1" operator="equal">
      <formula>"GREEN"</formula>
    </cfRule>
    <cfRule type="cellIs" dxfId="34" priority="2" stopIfTrue="1" operator="equal">
      <formula>"RED"</formula>
    </cfRule>
    <cfRule type="cellIs" dxfId="33" priority="3" stopIfTrue="1" operator="equal">
      <formula>"AMBER"</formula>
    </cfRule>
  </conditionalFormatting>
  <pageMargins left="0.75" right="0.75" top="1" bottom="1" header="0.5" footer="0.5"/>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U38"/>
  <sheetViews>
    <sheetView showGridLines="0" zoomScale="90" zoomScaleNormal="100" workbookViewId="0">
      <selection activeCell="M36" sqref="M36"/>
    </sheetView>
  </sheetViews>
  <sheetFormatPr defaultRowHeight="12.75"/>
  <cols>
    <col min="1" max="1" width="30" customWidth="1"/>
    <col min="2" max="2" width="1.7109375" customWidth="1"/>
    <col min="3" max="3" width="26" customWidth="1"/>
    <col min="4" max="4" width="1.7109375" customWidth="1"/>
    <col min="5" max="5" width="11.85546875" style="49" bestFit="1" customWidth="1"/>
    <col min="6" max="6" width="1.7109375" style="49" customWidth="1"/>
    <col min="7" max="7" width="9.42578125" style="49" customWidth="1"/>
    <col min="8" max="8" width="9.28515625" style="49" customWidth="1"/>
    <col min="9" max="9" width="9.140625" style="49" bestFit="1" customWidth="1"/>
    <col min="10" max="10" width="8.28515625" style="140" bestFit="1" customWidth="1"/>
    <col min="11" max="11" width="9.28515625" style="49" customWidth="1"/>
    <col min="12" max="12" width="1.7109375" style="49" customWidth="1"/>
    <col min="13" max="13" width="11.28515625" style="49" bestFit="1" customWidth="1"/>
    <col min="14" max="14" width="9.28515625" style="49" customWidth="1"/>
    <col min="15" max="15" width="9.140625" style="49" bestFit="1" customWidth="1"/>
    <col min="16" max="16" width="11" style="140" bestFit="1" customWidth="1"/>
    <col min="17" max="17" width="9.28515625" style="49" bestFit="1" customWidth="1"/>
    <col min="18" max="18" width="1.7109375" style="13" customWidth="1"/>
    <col min="19" max="20" width="9.28515625" style="13" bestFit="1" customWidth="1"/>
    <col min="21" max="21" width="9.140625" style="13"/>
  </cols>
  <sheetData>
    <row r="1" spans="1:19">
      <c r="A1" s="1" t="str">
        <f>'1 Key Financial Performance'!A1</f>
        <v>Finance Report Month 6 2011/12 - NHS Ealing, NHS Hillingdon and NHS Hounslow</v>
      </c>
      <c r="J1" s="310"/>
      <c r="O1"/>
    </row>
    <row r="4" spans="1:19">
      <c r="A4" s="1" t="s">
        <v>214</v>
      </c>
    </row>
    <row r="5" spans="1:19">
      <c r="A5" s="1"/>
      <c r="B5" s="1"/>
      <c r="C5" s="1"/>
      <c r="D5" s="1"/>
    </row>
    <row r="6" spans="1:19" s="39" customFormat="1" ht="27.75" customHeight="1">
      <c r="A6" s="52" t="s">
        <v>48</v>
      </c>
      <c r="B6" s="68"/>
      <c r="C6" s="52"/>
      <c r="D6" s="68"/>
      <c r="E6" s="56" t="s">
        <v>18</v>
      </c>
      <c r="F6" s="71"/>
      <c r="G6" s="444" t="s">
        <v>69</v>
      </c>
      <c r="H6" s="445"/>
      <c r="I6" s="445"/>
      <c r="J6" s="445"/>
      <c r="K6" s="446"/>
      <c r="L6" s="71"/>
      <c r="M6" s="444" t="s">
        <v>72</v>
      </c>
      <c r="N6" s="445"/>
      <c r="O6" s="445"/>
      <c r="P6" s="445"/>
      <c r="Q6" s="446"/>
      <c r="R6" s="53"/>
    </row>
    <row r="7" spans="1:19" s="39" customFormat="1">
      <c r="A7" s="54"/>
      <c r="B7" s="69"/>
      <c r="C7" s="54"/>
      <c r="D7" s="69"/>
      <c r="E7" s="57"/>
      <c r="F7" s="72"/>
      <c r="G7" s="58" t="s">
        <v>70</v>
      </c>
      <c r="H7" s="59" t="s">
        <v>15</v>
      </c>
      <c r="I7" s="59" t="s">
        <v>21</v>
      </c>
      <c r="J7" s="141" t="s">
        <v>22</v>
      </c>
      <c r="K7" s="60" t="s">
        <v>23</v>
      </c>
      <c r="L7" s="72"/>
      <c r="M7" s="58" t="s">
        <v>71</v>
      </c>
      <c r="N7" s="59" t="s">
        <v>15</v>
      </c>
      <c r="O7" s="59" t="s">
        <v>21</v>
      </c>
      <c r="P7" s="141" t="s">
        <v>22</v>
      </c>
      <c r="Q7" s="60" t="s">
        <v>23</v>
      </c>
      <c r="R7" s="53"/>
    </row>
    <row r="8" spans="1:19" s="39" customFormat="1">
      <c r="A8" s="55"/>
      <c r="B8" s="70"/>
      <c r="C8" s="55"/>
      <c r="D8" s="70"/>
      <c r="E8" s="61"/>
      <c r="F8" s="73"/>
      <c r="G8" s="62"/>
      <c r="H8" s="63"/>
      <c r="I8" s="63"/>
      <c r="J8" s="142"/>
      <c r="K8" s="64"/>
      <c r="L8" s="73"/>
      <c r="M8" s="62"/>
      <c r="N8" s="63"/>
      <c r="O8" s="63"/>
      <c r="P8" s="142"/>
      <c r="Q8" s="64"/>
      <c r="R8" s="53"/>
    </row>
    <row r="9" spans="1:19" s="3" customFormat="1">
      <c r="A9" s="8"/>
      <c r="B9" s="24"/>
      <c r="C9" s="23"/>
      <c r="D9" s="24"/>
      <c r="E9" s="65"/>
      <c r="F9" s="66"/>
      <c r="G9" s="65"/>
      <c r="H9" s="65"/>
      <c r="I9" s="65"/>
      <c r="J9" s="143"/>
      <c r="K9" s="65"/>
      <c r="L9" s="66"/>
      <c r="M9" s="65"/>
      <c r="N9" s="65"/>
      <c r="O9" s="65"/>
      <c r="P9" s="143"/>
      <c r="Q9" s="65"/>
      <c r="R9" s="14"/>
    </row>
    <row r="10" spans="1:19" s="5" customFormat="1">
      <c r="A10" s="46" t="s">
        <v>213</v>
      </c>
      <c r="B10" s="22"/>
      <c r="C10" s="99" t="s">
        <v>24</v>
      </c>
      <c r="D10" s="100"/>
      <c r="E10" s="168">
        <v>-596110</v>
      </c>
      <c r="F10" s="101"/>
      <c r="G10" s="167">
        <v>-49455</v>
      </c>
      <c r="H10" s="167">
        <v>-49455</v>
      </c>
      <c r="I10" s="167">
        <f>G10-H10</f>
        <v>0</v>
      </c>
      <c r="J10" s="169">
        <f t="shared" ref="J10:J18" si="0">I10/G10</f>
        <v>0</v>
      </c>
      <c r="K10" s="163" t="str">
        <f t="shared" ref="K10:K16" si="1">IF(J10&lt;-1%,"RED",IF(J10&gt;=0%,"GREEN","AMBER"))</f>
        <v>GREEN</v>
      </c>
      <c r="L10" s="51"/>
      <c r="M10" s="167">
        <v>-294653</v>
      </c>
      <c r="N10" s="167">
        <v>-294653</v>
      </c>
      <c r="O10" s="167">
        <f t="shared" ref="O10:O16" si="2">M10-N10</f>
        <v>0</v>
      </c>
      <c r="P10" s="169">
        <f t="shared" ref="P10:P16" si="3">O10/M10</f>
        <v>0</v>
      </c>
      <c r="Q10" s="67" t="str">
        <f t="shared" ref="Q10:Q15" si="4">IF(P10&lt;-1%,"RED",IF(P10&gt;=0%,"GREEN","AMBER"))</f>
        <v>GREEN</v>
      </c>
      <c r="R10" s="21"/>
      <c r="S10" s="7"/>
    </row>
    <row r="11" spans="1:19" s="5" customFormat="1">
      <c r="A11" s="74"/>
      <c r="B11" s="9"/>
      <c r="C11" s="102" t="s">
        <v>5</v>
      </c>
      <c r="D11" s="103"/>
      <c r="E11" s="168">
        <v>293230</v>
      </c>
      <c r="F11" s="105"/>
      <c r="G11" s="168">
        <v>23631</v>
      </c>
      <c r="H11" s="168">
        <v>24589</v>
      </c>
      <c r="I11" s="168">
        <f t="shared" ref="I11:I16" si="5">G11-H11</f>
        <v>-958</v>
      </c>
      <c r="J11" s="170">
        <f t="shared" si="0"/>
        <v>-4.0539968685201641E-2</v>
      </c>
      <c r="K11" s="163" t="str">
        <f t="shared" si="1"/>
        <v>RED</v>
      </c>
      <c r="L11" s="50"/>
      <c r="M11" s="168">
        <v>148942</v>
      </c>
      <c r="N11" s="168">
        <v>152855</v>
      </c>
      <c r="O11" s="168">
        <f t="shared" si="2"/>
        <v>-3913</v>
      </c>
      <c r="P11" s="170">
        <f t="shared" si="3"/>
        <v>-2.6271971639967237E-2</v>
      </c>
      <c r="Q11" s="81" t="str">
        <f t="shared" si="4"/>
        <v>RED</v>
      </c>
      <c r="R11" s="21"/>
      <c r="S11" s="7"/>
    </row>
    <row r="12" spans="1:19" s="5" customFormat="1">
      <c r="A12" s="74"/>
      <c r="B12" s="9"/>
      <c r="C12" s="102" t="s">
        <v>210</v>
      </c>
      <c r="D12" s="103"/>
      <c r="E12" s="168">
        <v>132197</v>
      </c>
      <c r="F12" s="105"/>
      <c r="G12" s="168">
        <v>10288</v>
      </c>
      <c r="H12" s="168">
        <v>10447</v>
      </c>
      <c r="I12" s="168">
        <f>G12-H12</f>
        <v>-159</v>
      </c>
      <c r="J12" s="170">
        <f>I12/G12</f>
        <v>-1.5454898911353033E-2</v>
      </c>
      <c r="K12" s="163" t="str">
        <f t="shared" si="1"/>
        <v>RED</v>
      </c>
      <c r="L12" s="50"/>
      <c r="M12" s="168">
        <v>62432</v>
      </c>
      <c r="N12" s="168">
        <v>63262</v>
      </c>
      <c r="O12" s="168">
        <f t="shared" si="2"/>
        <v>-830</v>
      </c>
      <c r="P12" s="170">
        <f t="shared" si="3"/>
        <v>-1.3294464377242439E-2</v>
      </c>
      <c r="Q12" s="81" t="str">
        <f t="shared" si="4"/>
        <v>RED</v>
      </c>
      <c r="R12" s="21"/>
      <c r="S12" s="7"/>
    </row>
    <row r="13" spans="1:19" s="5" customFormat="1">
      <c r="A13" s="74"/>
      <c r="B13" s="9"/>
      <c r="C13" s="102" t="s">
        <v>211</v>
      </c>
      <c r="D13" s="103"/>
      <c r="E13" s="168">
        <v>131780</v>
      </c>
      <c r="F13" s="105"/>
      <c r="G13" s="168">
        <v>12070</v>
      </c>
      <c r="H13" s="168">
        <v>11367</v>
      </c>
      <c r="I13" s="168">
        <f t="shared" ref="I13:I15" si="6">G13-H13</f>
        <v>703</v>
      </c>
      <c r="J13" s="170">
        <f>I13/G13</f>
        <v>5.8243579121789561E-2</v>
      </c>
      <c r="K13" s="163" t="str">
        <f t="shared" si="1"/>
        <v>GREEN</v>
      </c>
      <c r="L13" s="50"/>
      <c r="M13" s="168">
        <v>65005</v>
      </c>
      <c r="N13" s="168">
        <v>64014</v>
      </c>
      <c r="O13" s="168">
        <f t="shared" si="2"/>
        <v>991</v>
      </c>
      <c r="P13" s="170">
        <f t="shared" si="3"/>
        <v>1.5244981155295746E-2</v>
      </c>
      <c r="Q13" s="81" t="str">
        <f t="shared" si="4"/>
        <v>GREEN</v>
      </c>
      <c r="R13" s="21"/>
      <c r="S13" s="7"/>
    </row>
    <row r="14" spans="1:19" s="5" customFormat="1">
      <c r="A14" s="74"/>
      <c r="B14" s="9"/>
      <c r="C14" s="165" t="s">
        <v>41</v>
      </c>
      <c r="D14" s="103"/>
      <c r="E14" s="168">
        <v>15558</v>
      </c>
      <c r="F14" s="105"/>
      <c r="G14" s="309">
        <v>1215</v>
      </c>
      <c r="H14" s="309">
        <v>1126</v>
      </c>
      <c r="I14" s="168">
        <f t="shared" si="6"/>
        <v>89</v>
      </c>
      <c r="J14" s="170">
        <f t="shared" ref="J14:J15" si="7">I14/G14</f>
        <v>7.3251028806584365E-2</v>
      </c>
      <c r="K14" s="163" t="str">
        <f t="shared" si="1"/>
        <v>GREEN</v>
      </c>
      <c r="L14" s="50"/>
      <c r="M14" s="168">
        <v>7367</v>
      </c>
      <c r="N14" s="168">
        <v>7363</v>
      </c>
      <c r="O14" s="168">
        <f t="shared" si="2"/>
        <v>4</v>
      </c>
      <c r="P14" s="170">
        <f t="shared" si="3"/>
        <v>5.4296185692955066E-4</v>
      </c>
      <c r="Q14" s="81" t="str">
        <f t="shared" si="4"/>
        <v>GREEN</v>
      </c>
      <c r="R14" s="21"/>
      <c r="S14" s="7"/>
    </row>
    <row r="15" spans="1:19" s="5" customFormat="1">
      <c r="A15" s="74"/>
      <c r="B15" s="9"/>
      <c r="C15" s="375" t="s">
        <v>455</v>
      </c>
      <c r="D15" s="103"/>
      <c r="E15" s="168">
        <f>12589+4690</f>
        <v>17279</v>
      </c>
      <c r="F15" s="105"/>
      <c r="G15" s="309">
        <f>1906-160</f>
        <v>1746</v>
      </c>
      <c r="H15" s="309">
        <v>1923</v>
      </c>
      <c r="I15" s="168">
        <f t="shared" si="6"/>
        <v>-177</v>
      </c>
      <c r="J15" s="170">
        <f t="shared" si="7"/>
        <v>-0.1013745704467354</v>
      </c>
      <c r="K15" s="163" t="str">
        <f t="shared" si="1"/>
        <v>RED</v>
      </c>
      <c r="L15" s="50"/>
      <c r="M15" s="168">
        <f>6829+1045</f>
        <v>7874</v>
      </c>
      <c r="N15" s="168">
        <v>7157</v>
      </c>
      <c r="O15" s="168">
        <f t="shared" si="2"/>
        <v>717</v>
      </c>
      <c r="P15" s="170">
        <f t="shared" si="3"/>
        <v>9.1059182118364237E-2</v>
      </c>
      <c r="Q15" s="81" t="str">
        <f t="shared" si="4"/>
        <v>GREEN</v>
      </c>
      <c r="R15" s="21"/>
      <c r="S15" s="7"/>
    </row>
    <row r="16" spans="1:19" s="5" customFormat="1">
      <c r="A16" s="75" t="s">
        <v>218</v>
      </c>
      <c r="B16" s="9"/>
      <c r="C16" s="82"/>
      <c r="D16" s="27"/>
      <c r="E16" s="377">
        <f>SUM(E10:E15)</f>
        <v>-6066</v>
      </c>
      <c r="F16" s="50"/>
      <c r="G16" s="172">
        <f>SUM(G10:G15)</f>
        <v>-505</v>
      </c>
      <c r="H16" s="172">
        <f>SUM(H10:H15)</f>
        <v>-3</v>
      </c>
      <c r="I16" s="172">
        <f t="shared" si="5"/>
        <v>-502</v>
      </c>
      <c r="J16" s="171">
        <f t="shared" si="0"/>
        <v>0.99405940594059405</v>
      </c>
      <c r="K16" s="164" t="str">
        <f t="shared" si="1"/>
        <v>GREEN</v>
      </c>
      <c r="L16" s="50"/>
      <c r="M16" s="172">
        <f>SUM(M10:M15)</f>
        <v>-3033</v>
      </c>
      <c r="N16" s="172">
        <f>SUM(N10:N15)</f>
        <v>-2</v>
      </c>
      <c r="O16" s="172">
        <f t="shared" si="2"/>
        <v>-3031</v>
      </c>
      <c r="P16" s="171">
        <f t="shared" si="3"/>
        <v>0.9993405868776789</v>
      </c>
      <c r="Q16" s="164" t="str">
        <f>IF(P16&lt;-1%,"RED",IF(P16&gt;=0%,"GREEN","AMBER"))</f>
        <v>GREEN</v>
      </c>
      <c r="R16" s="21"/>
      <c r="S16" s="7"/>
    </row>
    <row r="17" spans="1:19" s="5" customFormat="1">
      <c r="A17" s="76"/>
      <c r="B17" s="77"/>
      <c r="C17" s="77"/>
      <c r="D17" s="77"/>
      <c r="E17" s="78"/>
      <c r="F17" s="78"/>
      <c r="G17" s="78"/>
      <c r="H17" s="78"/>
      <c r="I17" s="78"/>
      <c r="J17" s="144"/>
      <c r="K17" s="79"/>
      <c r="L17" s="78"/>
      <c r="M17" s="78"/>
      <c r="N17" s="78"/>
      <c r="O17" s="126"/>
      <c r="P17" s="144"/>
      <c r="Q17" s="80"/>
      <c r="R17" s="21"/>
      <c r="S17" s="7"/>
    </row>
    <row r="18" spans="1:19" s="5" customFormat="1">
      <c r="A18" s="75" t="s">
        <v>215</v>
      </c>
      <c r="B18" s="9"/>
      <c r="C18" s="99" t="s">
        <v>24</v>
      </c>
      <c r="D18" s="103"/>
      <c r="E18" s="168">
        <v>-411495</v>
      </c>
      <c r="F18" s="101"/>
      <c r="G18" s="167">
        <v>-36158</v>
      </c>
      <c r="H18" s="167">
        <v>-36158</v>
      </c>
      <c r="I18" s="167">
        <f t="shared" ref="I18:I24" si="8">G18-H18</f>
        <v>0</v>
      </c>
      <c r="J18" s="169">
        <f t="shared" si="0"/>
        <v>0</v>
      </c>
      <c r="K18" s="67" t="str">
        <f t="shared" ref="K18:K24" si="9">IF(J18&lt;-1%,"RED",IF(J18&gt;=0%,"GREEN","AMBER"))</f>
        <v>GREEN</v>
      </c>
      <c r="L18" s="51"/>
      <c r="M18" s="167">
        <v>-208778</v>
      </c>
      <c r="N18" s="167">
        <v>-208778</v>
      </c>
      <c r="O18" s="167">
        <f t="shared" ref="O18:O24" si="10">M18-N18</f>
        <v>0</v>
      </c>
      <c r="P18" s="169">
        <f t="shared" ref="P18:P23" si="11">O18/M18</f>
        <v>0</v>
      </c>
      <c r="Q18" s="67" t="str">
        <f t="shared" ref="Q18:Q24" si="12">IF(P18&lt;-1%,"RED",IF(P18&gt;=0%,"GREEN","AMBER"))</f>
        <v>GREEN</v>
      </c>
      <c r="R18" s="21"/>
      <c r="S18" s="7"/>
    </row>
    <row r="19" spans="1:19" s="5" customFormat="1">
      <c r="A19" s="75"/>
      <c r="B19" s="11"/>
      <c r="C19" s="102" t="s">
        <v>5</v>
      </c>
      <c r="D19" s="106"/>
      <c r="E19" s="104">
        <v>219904</v>
      </c>
      <c r="F19" s="105"/>
      <c r="G19" s="168">
        <v>20487</v>
      </c>
      <c r="H19" s="168">
        <v>20896</v>
      </c>
      <c r="I19" s="168">
        <f t="shared" si="8"/>
        <v>-409</v>
      </c>
      <c r="J19" s="170">
        <f t="shared" ref="J19:J23" si="13">I19/G19</f>
        <v>-1.9963879533362622E-2</v>
      </c>
      <c r="K19" s="81" t="str">
        <f t="shared" si="9"/>
        <v>RED</v>
      </c>
      <c r="L19" s="50"/>
      <c r="M19" s="168">
        <v>114250</v>
      </c>
      <c r="N19" s="168">
        <v>115584</v>
      </c>
      <c r="O19" s="168">
        <f t="shared" si="10"/>
        <v>-1334</v>
      </c>
      <c r="P19" s="170">
        <f t="shared" si="11"/>
        <v>-1.1676148796498906E-2</v>
      </c>
      <c r="Q19" s="81" t="str">
        <f t="shared" si="12"/>
        <v>RED</v>
      </c>
      <c r="R19" s="21"/>
      <c r="S19" s="7"/>
    </row>
    <row r="20" spans="1:19" s="5" customFormat="1">
      <c r="A20" s="74"/>
      <c r="B20" s="9"/>
      <c r="C20" s="102" t="s">
        <v>210</v>
      </c>
      <c r="D20" s="103"/>
      <c r="E20" s="104">
        <v>81816</v>
      </c>
      <c r="F20" s="105"/>
      <c r="G20" s="168">
        <v>6781</v>
      </c>
      <c r="H20" s="168">
        <v>7014</v>
      </c>
      <c r="I20" s="168">
        <f t="shared" si="8"/>
        <v>-233</v>
      </c>
      <c r="J20" s="170">
        <f>I20/G20</f>
        <v>-3.4360713759032588E-2</v>
      </c>
      <c r="K20" s="81" t="str">
        <f t="shared" si="9"/>
        <v>RED</v>
      </c>
      <c r="L20" s="50"/>
      <c r="M20" s="168">
        <v>40684</v>
      </c>
      <c r="N20" s="168">
        <v>41153</v>
      </c>
      <c r="O20" s="168">
        <f t="shared" si="10"/>
        <v>-469</v>
      </c>
      <c r="P20" s="170">
        <f>O20/M20</f>
        <v>-1.1527873365450792E-2</v>
      </c>
      <c r="Q20" s="81" t="str">
        <f t="shared" si="12"/>
        <v>RED</v>
      </c>
      <c r="R20" s="21"/>
      <c r="S20" s="7"/>
    </row>
    <row r="21" spans="1:19" s="5" customFormat="1">
      <c r="A21" s="74"/>
      <c r="B21" s="9"/>
      <c r="C21" s="102" t="s">
        <v>211</v>
      </c>
      <c r="D21" s="103"/>
      <c r="E21" s="104">
        <v>88206</v>
      </c>
      <c r="F21" s="105"/>
      <c r="G21" s="168">
        <v>7181</v>
      </c>
      <c r="H21" s="168">
        <v>6940</v>
      </c>
      <c r="I21" s="168">
        <f t="shared" si="8"/>
        <v>241</v>
      </c>
      <c r="J21" s="170">
        <f>I21/G21</f>
        <v>3.3560785405932318E-2</v>
      </c>
      <c r="K21" s="81" t="str">
        <f t="shared" si="9"/>
        <v>GREEN</v>
      </c>
      <c r="L21" s="50"/>
      <c r="M21" s="168">
        <v>43615</v>
      </c>
      <c r="N21" s="168">
        <v>43045</v>
      </c>
      <c r="O21" s="168">
        <f t="shared" si="10"/>
        <v>570</v>
      </c>
      <c r="P21" s="170">
        <f>O21/M21</f>
        <v>1.3068898314799954E-2</v>
      </c>
      <c r="Q21" s="81" t="str">
        <f t="shared" si="12"/>
        <v>GREEN</v>
      </c>
      <c r="R21" s="21"/>
      <c r="S21" s="7"/>
    </row>
    <row r="22" spans="1:19" s="349" customFormat="1">
      <c r="A22" s="74"/>
      <c r="B22" s="9"/>
      <c r="C22" s="165" t="s">
        <v>41</v>
      </c>
      <c r="D22" s="103"/>
      <c r="E22" s="104">
        <v>9175</v>
      </c>
      <c r="F22" s="105"/>
      <c r="G22" s="168">
        <v>740</v>
      </c>
      <c r="H22" s="168">
        <v>760</v>
      </c>
      <c r="I22" s="168">
        <f t="shared" ref="I22" si="14">G22-H22</f>
        <v>-20</v>
      </c>
      <c r="J22" s="170">
        <f>I22/G22</f>
        <v>-2.7027027027027029E-2</v>
      </c>
      <c r="K22" s="81" t="str">
        <f t="shared" ref="K22" si="15">IF(J22&lt;-1%,"RED",IF(J22&gt;=0%,"GREEN","AMBER"))</f>
        <v>RED</v>
      </c>
      <c r="L22" s="50"/>
      <c r="M22" s="168">
        <v>4406</v>
      </c>
      <c r="N22" s="168">
        <v>4332</v>
      </c>
      <c r="O22" s="168">
        <f t="shared" ref="O22" si="16">M22-N22</f>
        <v>74</v>
      </c>
      <c r="P22" s="170">
        <f>O22/M22</f>
        <v>1.6795279164775308E-2</v>
      </c>
      <c r="Q22" s="81" t="str">
        <f t="shared" ref="Q22" si="17">IF(P22&lt;-1%,"RED",IF(P22&gt;=0%,"GREEN","AMBER"))</f>
        <v>GREEN</v>
      </c>
      <c r="R22" s="21"/>
      <c r="S22" s="7"/>
    </row>
    <row r="23" spans="1:19" s="5" customFormat="1">
      <c r="A23" s="74"/>
      <c r="B23" s="9"/>
      <c r="C23" s="375" t="s">
        <v>455</v>
      </c>
      <c r="D23" s="103"/>
      <c r="E23" s="104">
        <f>9525+2870</f>
        <v>12395</v>
      </c>
      <c r="F23" s="105"/>
      <c r="G23" s="168">
        <f>646+323</f>
        <v>969</v>
      </c>
      <c r="H23" s="168">
        <v>549</v>
      </c>
      <c r="I23" s="168">
        <f t="shared" si="8"/>
        <v>420</v>
      </c>
      <c r="J23" s="170">
        <f t="shared" si="13"/>
        <v>0.43343653250773995</v>
      </c>
      <c r="K23" s="81" t="str">
        <f t="shared" si="9"/>
        <v>GREEN</v>
      </c>
      <c r="L23" s="50"/>
      <c r="M23" s="168">
        <f>4592+1231</f>
        <v>5823</v>
      </c>
      <c r="N23" s="168">
        <v>4664</v>
      </c>
      <c r="O23" s="168">
        <f t="shared" si="10"/>
        <v>1159</v>
      </c>
      <c r="P23" s="170">
        <f t="shared" si="11"/>
        <v>0.19903829641078483</v>
      </c>
      <c r="Q23" s="81" t="str">
        <f t="shared" si="12"/>
        <v>GREEN</v>
      </c>
      <c r="R23" s="21"/>
      <c r="S23" s="7"/>
    </row>
    <row r="24" spans="1:19" s="5" customFormat="1">
      <c r="A24" s="75" t="s">
        <v>219</v>
      </c>
      <c r="B24" s="9"/>
      <c r="C24" s="82"/>
      <c r="D24" s="27"/>
      <c r="E24" s="48">
        <f>SUM(E18:E23)-1</f>
        <v>0</v>
      </c>
      <c r="F24" s="50"/>
      <c r="G24" s="172">
        <f>SUM(G18:G23)</f>
        <v>0</v>
      </c>
      <c r="H24" s="172">
        <v>0</v>
      </c>
      <c r="I24" s="172">
        <f t="shared" si="8"/>
        <v>0</v>
      </c>
      <c r="J24" s="171">
        <v>0</v>
      </c>
      <c r="K24" s="164" t="str">
        <f t="shared" si="9"/>
        <v>GREEN</v>
      </c>
      <c r="L24" s="50"/>
      <c r="M24" s="172">
        <f>SUM(M18:M23)</f>
        <v>0</v>
      </c>
      <c r="N24" s="172">
        <f>SUM(N18:N23)</f>
        <v>0</v>
      </c>
      <c r="O24" s="172">
        <f t="shared" si="10"/>
        <v>0</v>
      </c>
      <c r="P24" s="171">
        <v>0</v>
      </c>
      <c r="Q24" s="164" t="str">
        <f t="shared" si="12"/>
        <v>GREEN</v>
      </c>
      <c r="R24" s="21"/>
      <c r="S24" s="7"/>
    </row>
    <row r="25" spans="1:19" s="5" customFormat="1">
      <c r="A25" s="76"/>
      <c r="B25" s="77"/>
      <c r="C25" s="77"/>
      <c r="D25" s="77"/>
      <c r="E25" s="78"/>
      <c r="F25" s="78"/>
      <c r="G25" s="78"/>
      <c r="H25" s="78"/>
      <c r="I25" s="78"/>
      <c r="J25" s="144"/>
      <c r="K25" s="79"/>
      <c r="L25" s="78"/>
      <c r="M25" s="78"/>
      <c r="N25" s="78"/>
      <c r="O25" s="78"/>
      <c r="P25" s="144"/>
      <c r="Q25" s="80"/>
      <c r="R25" s="21"/>
      <c r="S25" s="7"/>
    </row>
    <row r="26" spans="1:19" s="5" customFormat="1">
      <c r="A26" s="75" t="s">
        <v>216</v>
      </c>
      <c r="B26" s="9"/>
      <c r="C26" s="99" t="s">
        <v>24</v>
      </c>
      <c r="D26" s="27"/>
      <c r="E26" s="168">
        <v>-404584</v>
      </c>
      <c r="F26" s="101"/>
      <c r="G26" s="168">
        <v>-36952</v>
      </c>
      <c r="H26" s="168">
        <v>-36952</v>
      </c>
      <c r="I26" s="167">
        <f t="shared" ref="I26:I32" si="18">G26-H26</f>
        <v>0</v>
      </c>
      <c r="J26" s="169">
        <f t="shared" ref="J26:J32" si="19">I26/G26</f>
        <v>0</v>
      </c>
      <c r="K26" s="67" t="str">
        <f t="shared" ref="K26:K32" si="20">IF(J26&lt;-1%,"RED",IF(J26&gt;=0%,"GREEN","AMBER"))</f>
        <v>GREEN</v>
      </c>
      <c r="L26" s="51"/>
      <c r="M26" s="168">
        <v>-207013</v>
      </c>
      <c r="N26" s="168">
        <v>-207013</v>
      </c>
      <c r="O26" s="167">
        <f t="shared" ref="O26:O32" si="21">M26-N26</f>
        <v>0</v>
      </c>
      <c r="P26" s="169">
        <f t="shared" ref="P26:P32" si="22">O26/M26</f>
        <v>0</v>
      </c>
      <c r="Q26" s="67" t="str">
        <f t="shared" ref="Q26:Q32" si="23">IF(P26&lt;-1%,"RED",IF(P26&gt;=0%,"GREEN","AMBER"))</f>
        <v>GREEN</v>
      </c>
      <c r="R26" s="21"/>
      <c r="S26" s="7"/>
    </row>
    <row r="27" spans="1:19" s="5" customFormat="1">
      <c r="A27" s="74"/>
      <c r="B27" s="9"/>
      <c r="C27" s="102" t="s">
        <v>5</v>
      </c>
      <c r="D27" s="27"/>
      <c r="E27" s="104">
        <v>197232</v>
      </c>
      <c r="F27" s="105"/>
      <c r="G27" s="168">
        <v>19478</v>
      </c>
      <c r="H27" s="168">
        <v>18690</v>
      </c>
      <c r="I27" s="168">
        <f t="shared" si="18"/>
        <v>788</v>
      </c>
      <c r="J27" s="170">
        <f t="shared" si="19"/>
        <v>4.0455898962932536E-2</v>
      </c>
      <c r="K27" s="81" t="str">
        <f t="shared" si="20"/>
        <v>GREEN</v>
      </c>
      <c r="L27" s="50"/>
      <c r="M27" s="168">
        <v>106214</v>
      </c>
      <c r="N27" s="168">
        <v>105655</v>
      </c>
      <c r="O27" s="168">
        <f t="shared" si="21"/>
        <v>559</v>
      </c>
      <c r="P27" s="170">
        <f t="shared" si="22"/>
        <v>5.2629596851639145E-3</v>
      </c>
      <c r="Q27" s="81" t="str">
        <f t="shared" si="23"/>
        <v>GREEN</v>
      </c>
      <c r="R27" s="21"/>
      <c r="S27" s="7"/>
    </row>
    <row r="28" spans="1:19" s="5" customFormat="1">
      <c r="A28" s="75"/>
      <c r="B28" s="11"/>
      <c r="C28" s="102" t="s">
        <v>210</v>
      </c>
      <c r="D28" s="42"/>
      <c r="E28" s="104">
        <v>79896</v>
      </c>
      <c r="F28" s="105"/>
      <c r="G28" s="168">
        <v>7078</v>
      </c>
      <c r="H28" s="168">
        <v>6903</v>
      </c>
      <c r="I28" s="168">
        <f t="shared" si="18"/>
        <v>175</v>
      </c>
      <c r="J28" s="170">
        <f t="shared" si="19"/>
        <v>2.4724498445888671E-2</v>
      </c>
      <c r="K28" s="81" t="str">
        <f t="shared" si="20"/>
        <v>GREEN</v>
      </c>
      <c r="L28" s="50"/>
      <c r="M28" s="168">
        <v>39887</v>
      </c>
      <c r="N28" s="168">
        <v>40155</v>
      </c>
      <c r="O28" s="168">
        <f t="shared" si="21"/>
        <v>-268</v>
      </c>
      <c r="P28" s="170">
        <f t="shared" si="22"/>
        <v>-6.7189811216687139E-3</v>
      </c>
      <c r="Q28" s="81" t="str">
        <f t="shared" si="23"/>
        <v>AMBER</v>
      </c>
      <c r="R28" s="21"/>
      <c r="S28" s="7"/>
    </row>
    <row r="29" spans="1:19" s="5" customFormat="1">
      <c r="A29" s="75"/>
      <c r="B29" s="11"/>
      <c r="C29" s="102" t="s">
        <v>211</v>
      </c>
      <c r="D29" s="42"/>
      <c r="E29" s="104">
        <v>88814</v>
      </c>
      <c r="F29" s="105"/>
      <c r="G29" s="168">
        <v>8058</v>
      </c>
      <c r="H29" s="168">
        <v>8314</v>
      </c>
      <c r="I29" s="168">
        <f t="shared" si="18"/>
        <v>-256</v>
      </c>
      <c r="J29" s="170">
        <f t="shared" si="19"/>
        <v>-3.1769669893273768E-2</v>
      </c>
      <c r="K29" s="81" t="str">
        <f t="shared" si="20"/>
        <v>RED</v>
      </c>
      <c r="L29" s="50"/>
      <c r="M29" s="168">
        <v>44423</v>
      </c>
      <c r="N29" s="168">
        <v>44921</v>
      </c>
      <c r="O29" s="168">
        <f t="shared" si="21"/>
        <v>-498</v>
      </c>
      <c r="P29" s="170">
        <f t="shared" si="22"/>
        <v>-1.1210409022353285E-2</v>
      </c>
      <c r="Q29" s="81" t="str">
        <f t="shared" si="23"/>
        <v>RED</v>
      </c>
      <c r="R29" s="21"/>
      <c r="S29" s="7"/>
    </row>
    <row r="30" spans="1:19" s="349" customFormat="1">
      <c r="A30" s="75"/>
      <c r="B30" s="11"/>
      <c r="C30" s="375" t="s">
        <v>41</v>
      </c>
      <c r="D30" s="42"/>
      <c r="E30" s="104">
        <v>12131</v>
      </c>
      <c r="F30" s="105"/>
      <c r="G30" s="168">
        <v>1011</v>
      </c>
      <c r="H30" s="168">
        <v>992</v>
      </c>
      <c r="I30" s="168">
        <f t="shared" ref="I30" si="24">G30-H30</f>
        <v>19</v>
      </c>
      <c r="J30" s="170">
        <f t="shared" ref="J30" si="25">I30/G30</f>
        <v>1.8793273986152326E-2</v>
      </c>
      <c r="K30" s="81" t="str">
        <f t="shared" ref="K30" si="26">IF(J30&lt;-1%,"RED",IF(J30&gt;=0%,"GREEN","AMBER"))</f>
        <v>GREEN</v>
      </c>
      <c r="L30" s="50"/>
      <c r="M30" s="168">
        <v>6066</v>
      </c>
      <c r="N30" s="168">
        <v>5972</v>
      </c>
      <c r="O30" s="168">
        <f t="shared" ref="O30" si="27">M30-N30</f>
        <v>94</v>
      </c>
      <c r="P30" s="170">
        <f t="shared" ref="P30" si="28">O30/M30</f>
        <v>1.5496208374546653E-2</v>
      </c>
      <c r="Q30" s="81" t="str">
        <f t="shared" ref="Q30" si="29">IF(P30&lt;-1%,"RED",IF(P30&gt;=0%,"GREEN","AMBER"))</f>
        <v>GREEN</v>
      </c>
      <c r="R30" s="21"/>
      <c r="S30" s="7"/>
    </row>
    <row r="31" spans="1:19" s="5" customFormat="1">
      <c r="A31" s="74"/>
      <c r="B31" s="9"/>
      <c r="C31" s="375" t="s">
        <v>455</v>
      </c>
      <c r="D31" s="27"/>
      <c r="E31" s="104">
        <f>16422+5936</f>
        <v>22358</v>
      </c>
      <c r="F31" s="105"/>
      <c r="G31" s="168">
        <f>546+435</f>
        <v>981</v>
      </c>
      <c r="H31" s="168">
        <v>1707</v>
      </c>
      <c r="I31" s="168">
        <f t="shared" ref="I31" si="30">G31-H31</f>
        <v>-726</v>
      </c>
      <c r="J31" s="170">
        <f t="shared" ref="J31" si="31">I31/G31</f>
        <v>-0.74006116207951067</v>
      </c>
      <c r="K31" s="81" t="str">
        <f t="shared" ref="K31" si="32">IF(J31&lt;-1%,"RED",IF(J31&gt;=0%,"GREEN","AMBER"))</f>
        <v>RED</v>
      </c>
      <c r="L31" s="50"/>
      <c r="M31" s="168">
        <f>7078+1268</f>
        <v>8346</v>
      </c>
      <c r="N31" s="168">
        <v>8234</v>
      </c>
      <c r="O31" s="168">
        <f t="shared" si="21"/>
        <v>112</v>
      </c>
      <c r="P31" s="170">
        <f t="shared" si="22"/>
        <v>1.3419602204648934E-2</v>
      </c>
      <c r="Q31" s="81" t="str">
        <f t="shared" si="23"/>
        <v>GREEN</v>
      </c>
      <c r="R31" s="21"/>
      <c r="S31" s="7"/>
    </row>
    <row r="32" spans="1:19" s="5" customFormat="1">
      <c r="A32" s="75" t="s">
        <v>220</v>
      </c>
      <c r="B32" s="9"/>
      <c r="C32" s="82"/>
      <c r="D32" s="27"/>
      <c r="E32" s="377">
        <f>SUM(E26:E31)</f>
        <v>-4153</v>
      </c>
      <c r="F32" s="50"/>
      <c r="G32" s="172">
        <f>SUM(G26:G31)</f>
        <v>-346</v>
      </c>
      <c r="H32" s="172">
        <f>SUM(H26:H31)</f>
        <v>-346</v>
      </c>
      <c r="I32" s="172">
        <f t="shared" si="18"/>
        <v>0</v>
      </c>
      <c r="J32" s="171">
        <f t="shared" si="19"/>
        <v>0</v>
      </c>
      <c r="K32" s="164" t="str">
        <f t="shared" si="20"/>
        <v>GREEN</v>
      </c>
      <c r="L32" s="50"/>
      <c r="M32" s="172">
        <f>SUM(M26:M31)</f>
        <v>-2077</v>
      </c>
      <c r="N32" s="172">
        <f>SUM(N26:N31)</f>
        <v>-2076</v>
      </c>
      <c r="O32" s="172">
        <f t="shared" si="21"/>
        <v>-1</v>
      </c>
      <c r="P32" s="171">
        <f t="shared" si="22"/>
        <v>4.8146364949446316E-4</v>
      </c>
      <c r="Q32" s="164" t="str">
        <f t="shared" si="23"/>
        <v>GREEN</v>
      </c>
      <c r="R32" s="21"/>
      <c r="S32" s="7"/>
    </row>
    <row r="33" spans="1:19" s="5" customFormat="1">
      <c r="A33" s="76"/>
      <c r="B33" s="77"/>
      <c r="C33" s="77"/>
      <c r="D33" s="77"/>
      <c r="E33" s="78"/>
      <c r="F33" s="78"/>
      <c r="G33" s="78"/>
      <c r="H33" s="78"/>
      <c r="I33" s="78"/>
      <c r="J33" s="144"/>
      <c r="K33" s="79"/>
      <c r="L33" s="78"/>
      <c r="M33" s="78"/>
      <c r="N33" s="78"/>
      <c r="O33" s="78"/>
      <c r="P33" s="144"/>
      <c r="Q33" s="80"/>
      <c r="R33" s="21"/>
      <c r="S33" s="7"/>
    </row>
    <row r="34" spans="1:19" s="1" customFormat="1">
      <c r="A34" s="83" t="s">
        <v>350</v>
      </c>
      <c r="B34" s="40"/>
      <c r="C34" s="83"/>
      <c r="D34" s="40"/>
      <c r="E34" s="377">
        <f>E16+E24+E32</f>
        <v>-10219</v>
      </c>
      <c r="F34" s="50"/>
      <c r="G34" s="377">
        <f>G16+G24+G32</f>
        <v>-851</v>
      </c>
      <c r="H34" s="377">
        <f>H16+H24+H32</f>
        <v>-349</v>
      </c>
      <c r="I34" s="377">
        <f>I16+I24+I32</f>
        <v>-502</v>
      </c>
      <c r="J34" s="377"/>
      <c r="K34" s="164" t="str">
        <f>IF(J34&lt;-1%,"RED",IF(J34&gt;=0%,"GREEN","AMBER"))</f>
        <v>GREEN</v>
      </c>
      <c r="L34" s="50"/>
      <c r="M34" s="377">
        <f>M16+M24+M32</f>
        <v>-5110</v>
      </c>
      <c r="N34" s="377">
        <f>N16+N24+N32</f>
        <v>-2078</v>
      </c>
      <c r="O34" s="377">
        <f>O16+O24+O32</f>
        <v>-3032</v>
      </c>
      <c r="P34" s="377"/>
      <c r="Q34" s="164" t="str">
        <f>IF(P34&lt;-1%,"RED",IF(P34&gt;=0%,"GREEN","AMBER"))</f>
        <v>GREEN</v>
      </c>
      <c r="R34" s="84"/>
    </row>
    <row r="36" spans="1:19">
      <c r="H36" s="299"/>
      <c r="I36" s="299"/>
      <c r="O36" s="299"/>
    </row>
    <row r="37" spans="1:19">
      <c r="I37" s="299"/>
      <c r="O37" s="299"/>
    </row>
    <row r="38" spans="1:19">
      <c r="H38" s="299"/>
      <c r="I38" s="299"/>
      <c r="N38" s="299"/>
      <c r="O38" s="299"/>
    </row>
  </sheetData>
  <customSheetViews>
    <customSheetView guid="{14394872-1C6D-42D5-AD0E-8F152B5DEE00}" scale="90" showGridLines="0" fitToPage="1">
      <selection activeCell="I50" sqref="I50"/>
      <pageMargins left="0.17" right="0.17" top="0.31" bottom="0.28999999999999998" header="0.37" footer="0.21"/>
      <printOptions horizontalCentered="1" verticalCentered="1"/>
      <pageSetup paperSize="256" scale="83" orientation="landscape" r:id="rId1"/>
      <headerFooter alignWithMargins="0"/>
    </customSheetView>
  </customSheetViews>
  <mergeCells count="2">
    <mergeCell ref="G6:K6"/>
    <mergeCell ref="M6:Q6"/>
  </mergeCells>
  <phoneticPr fontId="2" type="noConversion"/>
  <conditionalFormatting sqref="Q10:Q21 Q23:Q29 Q31:Q33 K10:K21 K23:K29 K32:K33">
    <cfRule type="cellIs" dxfId="32" priority="19" stopIfTrue="1" operator="equal">
      <formula>"GREEN"</formula>
    </cfRule>
    <cfRule type="cellIs" dxfId="31" priority="20" stopIfTrue="1" operator="equal">
      <formula>"RED"</formula>
    </cfRule>
    <cfRule type="cellIs" dxfId="30" priority="21" stopIfTrue="1" operator="equal">
      <formula>"AMBER"</formula>
    </cfRule>
  </conditionalFormatting>
  <conditionalFormatting sqref="K34 Q34">
    <cfRule type="cellIs" dxfId="29" priority="16" stopIfTrue="1" operator="equal">
      <formula>"GREEN"</formula>
    </cfRule>
    <cfRule type="cellIs" dxfId="28" priority="17" stopIfTrue="1" operator="equal">
      <formula>"RED"</formula>
    </cfRule>
    <cfRule type="cellIs" dxfId="27" priority="18" stopIfTrue="1" operator="equal">
      <formula>"AMBER"</formula>
    </cfRule>
  </conditionalFormatting>
  <conditionalFormatting sqref="Q22">
    <cfRule type="cellIs" dxfId="26" priority="13" stopIfTrue="1" operator="equal">
      <formula>"GREEN"</formula>
    </cfRule>
    <cfRule type="cellIs" dxfId="25" priority="14" stopIfTrue="1" operator="equal">
      <formula>"RED"</formula>
    </cfRule>
    <cfRule type="cellIs" dxfId="24" priority="15" stopIfTrue="1" operator="equal">
      <formula>"AMBER"</formula>
    </cfRule>
  </conditionalFormatting>
  <conditionalFormatting sqref="Q30">
    <cfRule type="cellIs" dxfId="23" priority="10" stopIfTrue="1" operator="equal">
      <formula>"GREEN"</formula>
    </cfRule>
    <cfRule type="cellIs" dxfId="22" priority="11" stopIfTrue="1" operator="equal">
      <formula>"RED"</formula>
    </cfRule>
    <cfRule type="cellIs" dxfId="21" priority="12" stopIfTrue="1" operator="equal">
      <formula>"AMBER"</formula>
    </cfRule>
  </conditionalFormatting>
  <conditionalFormatting sqref="K22">
    <cfRule type="cellIs" dxfId="20" priority="7" stopIfTrue="1" operator="equal">
      <formula>"GREEN"</formula>
    </cfRule>
    <cfRule type="cellIs" dxfId="19" priority="8" stopIfTrue="1" operator="equal">
      <formula>"RED"</formula>
    </cfRule>
    <cfRule type="cellIs" dxfId="18" priority="9" stopIfTrue="1" operator="equal">
      <formula>"AMBER"</formula>
    </cfRule>
  </conditionalFormatting>
  <conditionalFormatting sqref="K30">
    <cfRule type="cellIs" dxfId="17" priority="4" stopIfTrue="1" operator="equal">
      <formula>"GREEN"</formula>
    </cfRule>
    <cfRule type="cellIs" dxfId="16" priority="5" stopIfTrue="1" operator="equal">
      <formula>"RED"</formula>
    </cfRule>
    <cfRule type="cellIs" dxfId="15" priority="6" stopIfTrue="1" operator="equal">
      <formula>"AMBER"</formula>
    </cfRule>
  </conditionalFormatting>
  <conditionalFormatting sqref="K31">
    <cfRule type="cellIs" dxfId="14" priority="1" stopIfTrue="1" operator="equal">
      <formula>"GREEN"</formula>
    </cfRule>
    <cfRule type="cellIs" dxfId="13" priority="2" stopIfTrue="1" operator="equal">
      <formula>"RED"</formula>
    </cfRule>
    <cfRule type="cellIs" dxfId="12" priority="3" stopIfTrue="1" operator="equal">
      <formula>"AMBER"</formula>
    </cfRule>
  </conditionalFormatting>
  <dataValidations count="1">
    <dataValidation type="decimal" allowBlank="1" showErrorMessage="1" errorTitle="Number Only" error="Error : This cell can only accept a numeric value with a max of 12 digits." sqref="O10:O16 I10:I16 O18:O24 I18:I24 O26:O32 I26:I32">
      <formula1>-1000000000000</formula1>
      <formula2>1000000000000</formula2>
    </dataValidation>
  </dataValidations>
  <printOptions horizontalCentered="1" verticalCentered="1"/>
  <pageMargins left="0.17" right="0.17" top="0.31" bottom="0.28999999999999998" header="0.37" footer="0.21"/>
  <pageSetup paperSize="256" scale="84"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sheetPr codeName="Sheet4">
    <pageSetUpPr fitToPage="1"/>
  </sheetPr>
  <dimension ref="A1:G29"/>
  <sheetViews>
    <sheetView showGridLines="0" zoomScaleNormal="100" workbookViewId="0">
      <selection activeCell="C34" sqref="C34"/>
    </sheetView>
  </sheetViews>
  <sheetFormatPr defaultRowHeight="12.75"/>
  <cols>
    <col min="1" max="1" width="24.7109375" customWidth="1"/>
    <col min="2" max="2" width="14.5703125" customWidth="1"/>
    <col min="3" max="3" width="93.140625" customWidth="1"/>
    <col min="4" max="4" width="9.28515625" bestFit="1" customWidth="1"/>
    <col min="5" max="5" width="10.42578125" bestFit="1" customWidth="1"/>
    <col min="6" max="6" width="9.7109375" bestFit="1" customWidth="1"/>
    <col min="7" max="7" width="10.85546875" customWidth="1"/>
  </cols>
  <sheetData>
    <row r="1" spans="1:7">
      <c r="A1" s="1" t="str">
        <f>'1 Key Financial Performance'!A1</f>
        <v>Finance Report Month 6 2011/12 - NHS Ealing, NHS Hillingdon and NHS Hounslow</v>
      </c>
    </row>
    <row r="2" spans="1:7">
      <c r="A2" s="1"/>
    </row>
    <row r="4" spans="1:7">
      <c r="C4" s="186"/>
    </row>
    <row r="6" spans="1:7">
      <c r="A6" s="1" t="s">
        <v>148</v>
      </c>
    </row>
    <row r="8" spans="1:7" ht="25.5" customHeight="1">
      <c r="A8" s="107"/>
      <c r="B8" s="447" t="s">
        <v>83</v>
      </c>
      <c r="C8" s="449" t="s">
        <v>78</v>
      </c>
      <c r="D8" s="447" t="s">
        <v>87</v>
      </c>
      <c r="E8" s="447"/>
      <c r="F8" s="448"/>
      <c r="G8" s="447" t="s">
        <v>103</v>
      </c>
    </row>
    <row r="9" spans="1:7" s="3" customFormat="1" ht="25.5">
      <c r="A9" s="108"/>
      <c r="B9" s="451"/>
      <c r="C9" s="450"/>
      <c r="D9" s="181" t="s">
        <v>79</v>
      </c>
      <c r="E9" s="181" t="s">
        <v>80</v>
      </c>
      <c r="F9" s="181" t="s">
        <v>81</v>
      </c>
      <c r="G9" s="452"/>
    </row>
    <row r="10" spans="1:7">
      <c r="A10" s="22"/>
      <c r="B10" s="109"/>
      <c r="C10" s="16"/>
      <c r="D10" s="109"/>
      <c r="E10" s="109"/>
      <c r="F10" s="127"/>
      <c r="G10" s="109"/>
    </row>
    <row r="11" spans="1:7">
      <c r="A11" s="11" t="s">
        <v>82</v>
      </c>
      <c r="B11" s="41"/>
      <c r="C11" s="26"/>
      <c r="D11" s="41"/>
      <c r="E11" s="41"/>
      <c r="F11" s="10"/>
      <c r="G11" s="41"/>
    </row>
    <row r="12" spans="1:7">
      <c r="A12" s="11"/>
      <c r="B12" s="41"/>
      <c r="C12" s="26"/>
      <c r="D12" s="41"/>
      <c r="E12" s="41"/>
      <c r="F12" s="10"/>
      <c r="G12" s="41"/>
    </row>
    <row r="13" spans="1:7" ht="25.5">
      <c r="A13" s="130" t="s">
        <v>84</v>
      </c>
      <c r="B13" s="131" t="s">
        <v>14</v>
      </c>
      <c r="C13" s="132" t="s">
        <v>161</v>
      </c>
      <c r="D13" s="128">
        <v>-6500</v>
      </c>
      <c r="E13" s="128">
        <f>-5600-1200</f>
        <v>-6800</v>
      </c>
      <c r="F13" s="129">
        <v>-7000</v>
      </c>
      <c r="G13" s="137" t="s">
        <v>106</v>
      </c>
    </row>
    <row r="14" spans="1:7">
      <c r="A14" s="110"/>
      <c r="B14" s="111"/>
      <c r="C14" s="112"/>
      <c r="D14" s="111"/>
      <c r="E14" s="111"/>
      <c r="F14" s="110"/>
      <c r="G14" s="138"/>
    </row>
    <row r="15" spans="1:7" ht="38.25">
      <c r="A15" s="130" t="s">
        <v>85</v>
      </c>
      <c r="B15" s="145" t="s">
        <v>155</v>
      </c>
      <c r="C15" s="132" t="s">
        <v>13</v>
      </c>
      <c r="D15" s="128">
        <v>0</v>
      </c>
      <c r="E15" s="128">
        <v>-1300</v>
      </c>
      <c r="F15" s="129">
        <v>-1300</v>
      </c>
      <c r="G15" s="137" t="s">
        <v>105</v>
      </c>
    </row>
    <row r="16" spans="1:7">
      <c r="A16" s="110"/>
      <c r="B16" s="111"/>
      <c r="C16" s="112"/>
      <c r="D16" s="111"/>
      <c r="E16" s="111"/>
      <c r="F16" s="110"/>
      <c r="G16" s="138"/>
    </row>
    <row r="17" spans="1:7">
      <c r="A17" s="130" t="s">
        <v>30</v>
      </c>
      <c r="B17" s="131" t="s">
        <v>108</v>
      </c>
      <c r="C17" s="132" t="s">
        <v>158</v>
      </c>
      <c r="D17" s="128">
        <v>-150</v>
      </c>
      <c r="E17" s="128">
        <f>-320+54+100</f>
        <v>-166</v>
      </c>
      <c r="F17" s="129">
        <v>-500</v>
      </c>
      <c r="G17" s="137" t="s">
        <v>104</v>
      </c>
    </row>
    <row r="18" spans="1:7">
      <c r="A18" s="110"/>
      <c r="B18" s="111"/>
      <c r="C18" s="112"/>
      <c r="D18" s="111"/>
      <c r="E18" s="111"/>
      <c r="F18" s="110"/>
      <c r="G18" s="138"/>
    </row>
    <row r="19" spans="1:7" ht="38.25">
      <c r="A19" s="130" t="s">
        <v>86</v>
      </c>
      <c r="B19" s="131" t="s">
        <v>108</v>
      </c>
      <c r="C19" s="132" t="s">
        <v>159</v>
      </c>
      <c r="D19" s="128">
        <v>-400</v>
      </c>
      <c r="E19" s="128">
        <v>-530</v>
      </c>
      <c r="F19" s="129">
        <v>-600</v>
      </c>
      <c r="G19" s="137" t="s">
        <v>106</v>
      </c>
    </row>
    <row r="20" spans="1:7">
      <c r="A20" s="110"/>
      <c r="B20" s="111"/>
      <c r="C20" s="112"/>
      <c r="D20" s="111"/>
      <c r="E20" s="111"/>
      <c r="F20" s="110"/>
      <c r="G20" s="138"/>
    </row>
    <row r="21" spans="1:7" ht="25.5">
      <c r="A21" s="130" t="s">
        <v>151</v>
      </c>
      <c r="B21" s="145" t="s">
        <v>108</v>
      </c>
      <c r="C21" s="132" t="s">
        <v>162</v>
      </c>
      <c r="D21" s="128">
        <v>-554</v>
      </c>
      <c r="E21" s="128">
        <f>-318-54-200-50</f>
        <v>-622</v>
      </c>
      <c r="F21" s="129">
        <v>-700</v>
      </c>
      <c r="G21" s="137" t="s">
        <v>105</v>
      </c>
    </row>
    <row r="22" spans="1:7">
      <c r="A22" s="110"/>
      <c r="B22" s="111"/>
      <c r="C22" s="112"/>
      <c r="D22" s="111"/>
      <c r="E22" s="111"/>
      <c r="F22" s="110"/>
      <c r="G22" s="138"/>
    </row>
    <row r="23" spans="1:7" ht="32.25" customHeight="1">
      <c r="A23" s="130" t="s">
        <v>34</v>
      </c>
      <c r="B23" s="145" t="s">
        <v>108</v>
      </c>
      <c r="C23" s="132" t="s">
        <v>156</v>
      </c>
      <c r="D23" s="128">
        <f>-406+100</f>
        <v>-306</v>
      </c>
      <c r="E23" s="128">
        <f>-400+50</f>
        <v>-350</v>
      </c>
      <c r="F23" s="129">
        <v>-700</v>
      </c>
      <c r="G23" s="137" t="s">
        <v>106</v>
      </c>
    </row>
    <row r="24" spans="1:7">
      <c r="A24" s="147"/>
      <c r="B24" s="148"/>
      <c r="C24" s="149"/>
      <c r="D24" s="150"/>
      <c r="E24" s="150"/>
      <c r="F24" s="151"/>
      <c r="G24" s="152"/>
    </row>
    <row r="25" spans="1:7" ht="25.5" customHeight="1">
      <c r="A25" s="187" t="s">
        <v>88</v>
      </c>
      <c r="B25" s="145" t="s">
        <v>108</v>
      </c>
      <c r="C25" s="132" t="s">
        <v>160</v>
      </c>
      <c r="D25" s="128">
        <v>0</v>
      </c>
      <c r="E25" s="128">
        <v>0</v>
      </c>
      <c r="F25" s="129">
        <v>-580</v>
      </c>
      <c r="G25" s="137" t="s">
        <v>105</v>
      </c>
    </row>
    <row r="26" spans="1:7">
      <c r="A26" s="147"/>
      <c r="B26" s="148"/>
      <c r="C26" s="149"/>
      <c r="D26" s="150"/>
      <c r="E26" s="150"/>
      <c r="F26" s="151"/>
      <c r="G26" s="152"/>
    </row>
    <row r="27" spans="1:7" ht="25.5">
      <c r="A27" s="187" t="s">
        <v>152</v>
      </c>
      <c r="B27" s="131" t="s">
        <v>154</v>
      </c>
      <c r="C27" s="132" t="s">
        <v>153</v>
      </c>
      <c r="D27" s="128">
        <v>4458</v>
      </c>
      <c r="E27" s="128">
        <v>4458</v>
      </c>
      <c r="F27" s="129">
        <v>4458</v>
      </c>
      <c r="G27" s="137" t="s">
        <v>105</v>
      </c>
    </row>
    <row r="28" spans="1:7">
      <c r="A28" s="110"/>
      <c r="B28" s="111"/>
      <c r="C28" s="112"/>
      <c r="D28" s="111"/>
      <c r="E28" s="111"/>
      <c r="F28" s="110"/>
      <c r="G28" s="138"/>
    </row>
    <row r="29" spans="1:7">
      <c r="A29" s="133" t="s">
        <v>150</v>
      </c>
      <c r="B29" s="134"/>
      <c r="C29" s="135"/>
      <c r="D29" s="136">
        <f>SUM(D13:D27)</f>
        <v>-3452</v>
      </c>
      <c r="E29" s="136">
        <f>SUM(E13:E27)</f>
        <v>-5310</v>
      </c>
      <c r="F29" s="136">
        <f>SUM(F13:F27)</f>
        <v>-6922</v>
      </c>
      <c r="G29" s="139"/>
    </row>
  </sheetData>
  <customSheetViews>
    <customSheetView guid="{14394872-1C6D-42D5-AD0E-8F152B5DEE00}" showGridLines="0" fitToPage="1" state="hidden">
      <selection activeCell="C34" sqref="C34"/>
      <pageMargins left="0.35433070866141736" right="0.35433070866141736" top="0.59055118110236227" bottom="0.59055118110236227" header="0.51181102362204722" footer="0.51181102362204722"/>
      <pageSetup paperSize="9" scale="82" orientation="landscape" r:id="rId1"/>
      <headerFooter alignWithMargins="0"/>
    </customSheetView>
  </customSheetViews>
  <mergeCells count="4">
    <mergeCell ref="D8:F8"/>
    <mergeCell ref="C8:C9"/>
    <mergeCell ref="B8:B9"/>
    <mergeCell ref="G8:G9"/>
  </mergeCells>
  <phoneticPr fontId="2" type="noConversion"/>
  <dataValidations count="1">
    <dataValidation type="decimal" allowBlank="1" showErrorMessage="1" errorTitle="Number Only" error="Error : This cell can only accept a numeric value with a max of 12 digits." sqref="D29:F29 D19:F19 D21:F21 D13:F13 D17:F17 D15:F15 D23:F27">
      <formula1>-1000000000000</formula1>
      <formula2>1000000000000</formula2>
    </dataValidation>
  </dataValidations>
  <pageMargins left="0.35433070866141736" right="0.35433070866141736" top="0.59055118110236227" bottom="0.59055118110236227" header="0.51181102362204722" footer="0.51181102362204722"/>
  <pageSetup paperSize="9" scale="82"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sheetPr>
    <pageSetUpPr fitToPage="1"/>
  </sheetPr>
  <dimension ref="A1:E20"/>
  <sheetViews>
    <sheetView workbookViewId="0">
      <selection activeCell="A27" sqref="A27"/>
    </sheetView>
  </sheetViews>
  <sheetFormatPr defaultRowHeight="12.75"/>
  <cols>
    <col min="1" max="1" width="40.5703125" customWidth="1"/>
    <col min="5" max="5" width="83.85546875" customWidth="1"/>
  </cols>
  <sheetData>
    <row r="1" spans="1:5">
      <c r="A1" s="1" t="str">
        <f>'2 I&amp;E YTD'!A1</f>
        <v>Finance Report Month 6 2011/12 - NHS Ealing, NHS Hillingdon and NHS Hounslow</v>
      </c>
    </row>
    <row r="3" spans="1:5">
      <c r="A3" s="1" t="s">
        <v>344</v>
      </c>
    </row>
    <row r="5" spans="1:5" ht="25.5">
      <c r="A5" s="52" t="s">
        <v>333</v>
      </c>
      <c r="B5" s="52" t="s">
        <v>328</v>
      </c>
      <c r="C5" s="52" t="s">
        <v>329</v>
      </c>
      <c r="D5" s="52" t="s">
        <v>21</v>
      </c>
      <c r="E5" s="52" t="s">
        <v>330</v>
      </c>
    </row>
    <row r="6" spans="1:5">
      <c r="A6" s="350" t="s">
        <v>206</v>
      </c>
      <c r="B6" s="356">
        <v>9.1999999999999993</v>
      </c>
      <c r="C6" s="356">
        <v>9.4</v>
      </c>
      <c r="D6" s="356">
        <f>C6-B6</f>
        <v>0.20000000000000107</v>
      </c>
      <c r="E6" s="352"/>
    </row>
    <row r="7" spans="1:5">
      <c r="A7" s="350" t="s">
        <v>207</v>
      </c>
      <c r="B7" s="356">
        <v>3</v>
      </c>
      <c r="C7" s="356">
        <v>2.7</v>
      </c>
      <c r="D7" s="356">
        <f>C7-B7</f>
        <v>-0.29999999999999982</v>
      </c>
      <c r="E7" s="352" t="s">
        <v>331</v>
      </c>
    </row>
    <row r="8" spans="1:5">
      <c r="A8" s="353" t="s">
        <v>208</v>
      </c>
      <c r="B8" s="357">
        <v>3.5</v>
      </c>
      <c r="C8" s="357">
        <v>3.2</v>
      </c>
      <c r="D8" s="356">
        <f>C8-B8</f>
        <v>-0.29999999999999982</v>
      </c>
      <c r="E8" s="355" t="s">
        <v>332</v>
      </c>
    </row>
    <row r="9" spans="1:5">
      <c r="A9" s="358" t="s">
        <v>343</v>
      </c>
      <c r="B9" s="359">
        <f>SUM(B6:B8)</f>
        <v>15.7</v>
      </c>
      <c r="C9" s="359">
        <f>SUM(C6:C8)</f>
        <v>15.3</v>
      </c>
      <c r="D9" s="359">
        <f>SUM(D6:D8)</f>
        <v>-0.39999999999999858</v>
      </c>
      <c r="E9" s="360"/>
    </row>
    <row r="13" spans="1:5" ht="25.5">
      <c r="A13" s="52" t="s">
        <v>337</v>
      </c>
      <c r="B13" s="52" t="s">
        <v>328</v>
      </c>
      <c r="C13" s="52" t="s">
        <v>329</v>
      </c>
      <c r="D13" s="52" t="s">
        <v>21</v>
      </c>
      <c r="E13" s="52" t="s">
        <v>330</v>
      </c>
    </row>
    <row r="14" spans="1:5">
      <c r="A14" s="362" t="s">
        <v>338</v>
      </c>
      <c r="B14" s="363">
        <v>7.7</v>
      </c>
      <c r="C14" s="363">
        <v>7.7</v>
      </c>
      <c r="D14" s="364">
        <f t="shared" ref="D14:D19" si="0">C14-B14</f>
        <v>0</v>
      </c>
      <c r="E14" s="365"/>
    </row>
    <row r="15" spans="1:5">
      <c r="A15" s="350" t="s">
        <v>339</v>
      </c>
      <c r="B15" s="351">
        <v>5.3</v>
      </c>
      <c r="C15" s="351">
        <v>3.9</v>
      </c>
      <c r="D15" s="356">
        <f t="shared" si="0"/>
        <v>-1.4</v>
      </c>
      <c r="E15" s="367" t="s">
        <v>346</v>
      </c>
    </row>
    <row r="16" spans="1:5">
      <c r="A16" s="350" t="s">
        <v>340</v>
      </c>
      <c r="B16" s="351">
        <v>1.4</v>
      </c>
      <c r="C16" s="351">
        <v>1.6</v>
      </c>
      <c r="D16" s="356">
        <f t="shared" si="0"/>
        <v>0.20000000000000018</v>
      </c>
      <c r="E16" s="352"/>
    </row>
    <row r="17" spans="1:5">
      <c r="A17" s="350" t="s">
        <v>341</v>
      </c>
      <c r="B17" s="351">
        <v>0.6</v>
      </c>
      <c r="C17" s="351">
        <v>1.9</v>
      </c>
      <c r="D17" s="356">
        <f t="shared" si="0"/>
        <v>1.2999999999999998</v>
      </c>
      <c r="E17" s="352"/>
    </row>
    <row r="18" spans="1:5" s="347" customFormat="1">
      <c r="A18" s="350" t="s">
        <v>37</v>
      </c>
      <c r="B18" s="351">
        <v>0.2</v>
      </c>
      <c r="C18" s="351">
        <v>0.3</v>
      </c>
      <c r="D18" s="356">
        <f t="shared" si="0"/>
        <v>9.9999999999999978E-2</v>
      </c>
      <c r="E18" s="352"/>
    </row>
    <row r="19" spans="1:5">
      <c r="A19" s="353" t="s">
        <v>342</v>
      </c>
      <c r="B19" s="354">
        <v>0.5</v>
      </c>
      <c r="C19" s="354">
        <v>-0.1</v>
      </c>
      <c r="D19" s="366">
        <f t="shared" si="0"/>
        <v>-0.6</v>
      </c>
      <c r="E19" s="368" t="s">
        <v>345</v>
      </c>
    </row>
    <row r="20" spans="1:5">
      <c r="A20" s="358" t="s">
        <v>343</v>
      </c>
      <c r="B20" s="359">
        <f>SUM(B14:B19)</f>
        <v>15.7</v>
      </c>
      <c r="C20" s="359">
        <f>SUM(C14:C19)</f>
        <v>15.3</v>
      </c>
      <c r="D20" s="359">
        <f>SUM(D14:D19)</f>
        <v>-0.39999999999999991</v>
      </c>
      <c r="E20" s="360"/>
    </row>
  </sheetData>
  <customSheetViews>
    <customSheetView guid="{14394872-1C6D-42D5-AD0E-8F152B5DEE00}" fitToPage="1">
      <selection activeCell="A27" sqref="A27"/>
      <pageMargins left="0.74803149606299213" right="0.74803149606299213" top="0.98425196850393704" bottom="0.98425196850393704" header="0.51181102362204722" footer="0.51181102362204722"/>
      <pageSetup paperSize="9" scale="85" orientation="landscape" r:id="rId1"/>
      <headerFooter alignWithMargins="0"/>
    </customSheetView>
  </customSheetViews>
  <phoneticPr fontId="2" type="noConversion"/>
  <pageMargins left="0.74803149606299213" right="0.74803149606299213" top="0.98425196850393704" bottom="0.98425196850393704" header="0.51181102362204722" footer="0.51181102362204722"/>
  <pageSetup paperSize="9" scale="85" orientation="landscape" r:id="rId2"/>
  <headerFooter alignWithMargins="0"/>
</worksheet>
</file>

<file path=xl/worksheets/sheet6.xml><?xml version="1.0" encoding="utf-8"?>
<worksheet xmlns="http://schemas.openxmlformats.org/spreadsheetml/2006/main" xmlns:r="http://schemas.openxmlformats.org/officeDocument/2006/relationships">
  <sheetPr codeName="Sheet6"/>
  <dimension ref="A1:J34"/>
  <sheetViews>
    <sheetView showGridLines="0" tabSelected="1" topLeftCell="A7" zoomScaleNormal="100" workbookViewId="0">
      <selection activeCell="E37" sqref="E37"/>
    </sheetView>
  </sheetViews>
  <sheetFormatPr defaultRowHeight="12.75"/>
  <cols>
    <col min="1" max="1" width="31.5703125" bestFit="1" customWidth="1"/>
    <col min="2" max="2" width="2.7109375" customWidth="1"/>
    <col min="3" max="3" width="25.28515625" bestFit="1" customWidth="1"/>
    <col min="4" max="4" width="2.7109375" customWidth="1"/>
    <col min="5" max="8" width="9.28515625" bestFit="1" customWidth="1"/>
    <col min="9" max="9" width="2.7109375" customWidth="1"/>
    <col min="10" max="10" width="60.7109375" customWidth="1"/>
    <col min="11" max="13" width="9.28515625" bestFit="1" customWidth="1"/>
    <col min="14" max="14" width="10.5703125" bestFit="1" customWidth="1"/>
  </cols>
  <sheetData>
    <row r="1" spans="1:10">
      <c r="A1" s="1" t="str">
        <f>Index!B1</f>
        <v>Finance Report Month 6 2011/12 - NHS Ealing, NHS Hillingdon and NHS Hounslow</v>
      </c>
    </row>
    <row r="3" spans="1:10">
      <c r="A3" s="1" t="s">
        <v>8</v>
      </c>
    </row>
    <row r="4" spans="1:10">
      <c r="A4" s="1"/>
    </row>
    <row r="5" spans="1:10" s="212" customFormat="1">
      <c r="A5" s="25"/>
    </row>
    <row r="6" spans="1:10" s="212" customFormat="1" ht="12.75" customHeight="1">
      <c r="A6" s="107"/>
      <c r="B6" s="215"/>
      <c r="C6" s="107"/>
      <c r="D6" s="215"/>
      <c r="E6" s="447" t="s">
        <v>6</v>
      </c>
      <c r="F6" s="447"/>
      <c r="G6" s="448"/>
      <c r="H6" s="447" t="s">
        <v>103</v>
      </c>
      <c r="I6" s="216"/>
      <c r="J6" s="453" t="s">
        <v>78</v>
      </c>
    </row>
    <row r="7" spans="1:10" ht="25.5">
      <c r="A7" s="108"/>
      <c r="B7" s="217"/>
      <c r="C7" s="108"/>
      <c r="D7" s="217"/>
      <c r="E7" s="218" t="s">
        <v>79</v>
      </c>
      <c r="F7" s="218" t="s">
        <v>80</v>
      </c>
      <c r="G7" s="218" t="s">
        <v>81</v>
      </c>
      <c r="H7" s="452"/>
      <c r="I7" s="219"/>
      <c r="J7" s="454"/>
    </row>
    <row r="8" spans="1:10">
      <c r="A8" s="22"/>
      <c r="B8" s="220"/>
      <c r="C8" s="221"/>
      <c r="D8" s="220"/>
      <c r="E8" s="222"/>
      <c r="F8" s="222"/>
      <c r="G8" s="222"/>
      <c r="H8" s="222"/>
      <c r="I8" s="223"/>
      <c r="J8" s="224"/>
    </row>
    <row r="9" spans="1:10" ht="12.75" customHeight="1">
      <c r="A9" s="225" t="s">
        <v>213</v>
      </c>
      <c r="B9" s="226"/>
      <c r="C9" s="99" t="s">
        <v>179</v>
      </c>
      <c r="D9" s="100"/>
      <c r="E9" s="227">
        <v>-7500</v>
      </c>
      <c r="F9" s="227">
        <v>-8184</v>
      </c>
      <c r="G9" s="227">
        <v>-12184</v>
      </c>
      <c r="H9" s="228" t="s">
        <v>106</v>
      </c>
      <c r="I9" s="229"/>
      <c r="J9" s="455" t="s">
        <v>336</v>
      </c>
    </row>
    <row r="10" spans="1:10">
      <c r="A10" s="230"/>
      <c r="B10" s="231"/>
      <c r="C10" s="102" t="s">
        <v>221</v>
      </c>
      <c r="D10" s="103"/>
      <c r="E10" s="232">
        <v>800</v>
      </c>
      <c r="F10" s="232">
        <v>600</v>
      </c>
      <c r="G10" s="232">
        <v>-1500</v>
      </c>
      <c r="H10" s="263" t="s">
        <v>106</v>
      </c>
      <c r="I10" s="234"/>
      <c r="J10" s="456"/>
    </row>
    <row r="11" spans="1:10">
      <c r="A11" s="230"/>
      <c r="B11" s="231"/>
      <c r="C11" s="102" t="s">
        <v>222</v>
      </c>
      <c r="D11" s="103"/>
      <c r="E11" s="232">
        <v>2100</v>
      </c>
      <c r="F11" s="232">
        <v>2000</v>
      </c>
      <c r="G11" s="232">
        <v>400</v>
      </c>
      <c r="H11" s="233" t="s">
        <v>105</v>
      </c>
      <c r="I11" s="234"/>
      <c r="J11" s="456"/>
    </row>
    <row r="12" spans="1:10" s="347" customFormat="1">
      <c r="A12" s="235"/>
      <c r="B12" s="236"/>
      <c r="C12" s="361" t="s">
        <v>41</v>
      </c>
      <c r="D12" s="103"/>
      <c r="E12" s="232">
        <v>100</v>
      </c>
      <c r="F12" s="232">
        <v>0</v>
      </c>
      <c r="G12" s="232">
        <v>0</v>
      </c>
      <c r="H12" s="233"/>
      <c r="I12" s="234"/>
      <c r="J12" s="456"/>
    </row>
    <row r="13" spans="1:10">
      <c r="A13" s="235"/>
      <c r="B13" s="236"/>
      <c r="C13" s="102" t="s">
        <v>212</v>
      </c>
      <c r="D13" s="103"/>
      <c r="E13" s="232">
        <v>750</v>
      </c>
      <c r="F13" s="232">
        <v>700</v>
      </c>
      <c r="G13" s="232">
        <v>100</v>
      </c>
      <c r="H13" s="233" t="s">
        <v>105</v>
      </c>
      <c r="I13" s="234"/>
      <c r="J13" s="456"/>
    </row>
    <row r="14" spans="1:10">
      <c r="A14" s="235"/>
      <c r="B14" s="236"/>
      <c r="C14" s="102" t="s">
        <v>17</v>
      </c>
      <c r="D14" s="103"/>
      <c r="E14" s="232">
        <v>4884</v>
      </c>
      <c r="F14" s="232">
        <v>4884</v>
      </c>
      <c r="G14" s="232">
        <v>2893</v>
      </c>
      <c r="H14" s="251" t="s">
        <v>104</v>
      </c>
      <c r="I14" s="234"/>
      <c r="J14" s="456"/>
    </row>
    <row r="15" spans="1:10">
      <c r="A15" s="237" t="s">
        <v>217</v>
      </c>
      <c r="B15" s="238"/>
      <c r="C15" s="239"/>
      <c r="D15" s="240"/>
      <c r="E15" s="241">
        <f>SUM(E9:E14)</f>
        <v>1134</v>
      </c>
      <c r="F15" s="241">
        <f>SUM(F9:F14)</f>
        <v>0</v>
      </c>
      <c r="G15" s="241">
        <f>SUM(G9:G14)</f>
        <v>-10291</v>
      </c>
      <c r="H15" s="242" t="s">
        <v>106</v>
      </c>
      <c r="I15" s="243"/>
      <c r="J15" s="456"/>
    </row>
    <row r="16" spans="1:10">
      <c r="A16" s="244"/>
      <c r="B16" s="245"/>
      <c r="C16" s="246"/>
      <c r="D16" s="245"/>
      <c r="E16" s="246"/>
      <c r="F16" s="246"/>
      <c r="G16" s="246"/>
      <c r="H16" s="247"/>
      <c r="I16" s="248"/>
      <c r="J16" s="457"/>
    </row>
    <row r="17" spans="1:10" ht="12.75" customHeight="1">
      <c r="A17" s="225" t="s">
        <v>215</v>
      </c>
      <c r="B17" s="226"/>
      <c r="C17" s="99" t="s">
        <v>179</v>
      </c>
      <c r="D17" s="100"/>
      <c r="E17" s="227">
        <v>-6000</v>
      </c>
      <c r="F17" s="227">
        <v>-6600</v>
      </c>
      <c r="G17" s="227">
        <v>-7800</v>
      </c>
      <c r="H17" s="250" t="s">
        <v>105</v>
      </c>
      <c r="I17" s="229"/>
      <c r="J17" s="457"/>
    </row>
    <row r="18" spans="1:10">
      <c r="A18" s="230"/>
      <c r="B18" s="231"/>
      <c r="C18" s="102" t="s">
        <v>221</v>
      </c>
      <c r="D18" s="103"/>
      <c r="E18" s="232">
        <v>300</v>
      </c>
      <c r="F18" s="232">
        <v>200</v>
      </c>
      <c r="G18" s="232">
        <v>-1600</v>
      </c>
      <c r="H18" s="251" t="s">
        <v>104</v>
      </c>
      <c r="I18" s="234"/>
      <c r="J18" s="457"/>
    </row>
    <row r="19" spans="1:10">
      <c r="A19" s="230"/>
      <c r="B19" s="231"/>
      <c r="C19" s="102" t="s">
        <v>222</v>
      </c>
      <c r="D19" s="103"/>
      <c r="E19" s="232">
        <v>2300</v>
      </c>
      <c r="F19" s="232">
        <v>2200</v>
      </c>
      <c r="G19" s="232">
        <v>1300</v>
      </c>
      <c r="H19" s="263" t="s">
        <v>106</v>
      </c>
      <c r="I19" s="234"/>
      <c r="J19" s="457"/>
    </row>
    <row r="20" spans="1:10" s="347" customFormat="1">
      <c r="A20" s="235"/>
      <c r="B20" s="236"/>
      <c r="C20" s="361" t="s">
        <v>41</v>
      </c>
      <c r="D20" s="103"/>
      <c r="E20" s="232">
        <v>200</v>
      </c>
      <c r="F20" s="232">
        <v>200</v>
      </c>
      <c r="G20" s="232">
        <v>200</v>
      </c>
      <c r="H20" s="263"/>
      <c r="I20" s="234"/>
      <c r="J20" s="457"/>
    </row>
    <row r="21" spans="1:10">
      <c r="A21" s="235"/>
      <c r="B21" s="236"/>
      <c r="C21" s="102" t="s">
        <v>212</v>
      </c>
      <c r="D21" s="103"/>
      <c r="E21" s="232">
        <v>800</v>
      </c>
      <c r="F21" s="232">
        <v>700</v>
      </c>
      <c r="G21" s="232">
        <v>100</v>
      </c>
      <c r="H21" s="263" t="s">
        <v>106</v>
      </c>
      <c r="I21" s="234"/>
      <c r="J21" s="457"/>
    </row>
    <row r="22" spans="1:10">
      <c r="A22" s="235"/>
      <c r="B22" s="236"/>
      <c r="C22" s="102" t="s">
        <v>17</v>
      </c>
      <c r="D22" s="103"/>
      <c r="E22" s="232">
        <v>3300</v>
      </c>
      <c r="F22" s="232">
        <v>3300</v>
      </c>
      <c r="G22" s="232">
        <v>2178</v>
      </c>
      <c r="H22" s="233" t="s">
        <v>105</v>
      </c>
      <c r="I22" s="234"/>
      <c r="J22" s="457"/>
    </row>
    <row r="23" spans="1:10">
      <c r="A23" s="237" t="s">
        <v>334</v>
      </c>
      <c r="B23" s="238"/>
      <c r="C23" s="237"/>
      <c r="D23" s="252"/>
      <c r="E23" s="241">
        <f>SUM(E17:E22)</f>
        <v>900</v>
      </c>
      <c r="F23" s="241">
        <f>SUM(F17:F22)</f>
        <v>0</v>
      </c>
      <c r="G23" s="241">
        <f>SUM(G17:G22)</f>
        <v>-5622</v>
      </c>
      <c r="H23" s="251" t="s">
        <v>104</v>
      </c>
      <c r="I23" s="243"/>
      <c r="J23" s="457"/>
    </row>
    <row r="24" spans="1:10">
      <c r="A24" s="238"/>
      <c r="B24" s="311"/>
      <c r="C24" s="311"/>
      <c r="D24" s="311"/>
      <c r="E24" s="313"/>
      <c r="F24" s="313"/>
      <c r="G24" s="313"/>
      <c r="H24" s="314"/>
      <c r="I24" s="312"/>
      <c r="J24" s="457"/>
    </row>
    <row r="25" spans="1:10" ht="12.75" customHeight="1">
      <c r="A25" s="225" t="s">
        <v>216</v>
      </c>
      <c r="B25" s="226"/>
      <c r="C25" s="99" t="s">
        <v>179</v>
      </c>
      <c r="D25" s="100"/>
      <c r="E25" s="227">
        <v>-7260</v>
      </c>
      <c r="F25" s="227">
        <v>-7926</v>
      </c>
      <c r="G25" s="227">
        <v>-9226</v>
      </c>
      <c r="H25" s="228" t="s">
        <v>106</v>
      </c>
      <c r="I25" s="229"/>
      <c r="J25" s="457"/>
    </row>
    <row r="26" spans="1:10">
      <c r="A26" s="230"/>
      <c r="B26" s="231"/>
      <c r="C26" s="102" t="s">
        <v>221</v>
      </c>
      <c r="D26" s="103"/>
      <c r="E26" s="232">
        <v>500</v>
      </c>
      <c r="F26" s="232">
        <v>400</v>
      </c>
      <c r="G26" s="232">
        <v>-2300</v>
      </c>
      <c r="H26" s="263" t="s">
        <v>106</v>
      </c>
      <c r="I26" s="234"/>
      <c r="J26" s="457"/>
    </row>
    <row r="27" spans="1:10">
      <c r="A27" s="230"/>
      <c r="B27" s="231"/>
      <c r="C27" s="102" t="s">
        <v>222</v>
      </c>
      <c r="D27" s="103"/>
      <c r="E27" s="232">
        <v>900</v>
      </c>
      <c r="F27" s="232">
        <v>800</v>
      </c>
      <c r="G27" s="232">
        <v>-900</v>
      </c>
      <c r="H27" s="233" t="s">
        <v>105</v>
      </c>
      <c r="I27" s="234"/>
      <c r="J27" s="457"/>
    </row>
    <row r="28" spans="1:10" s="347" customFormat="1">
      <c r="A28" s="235"/>
      <c r="B28" s="236"/>
      <c r="C28" s="361" t="s">
        <v>41</v>
      </c>
      <c r="D28" s="103"/>
      <c r="E28" s="232">
        <v>300</v>
      </c>
      <c r="F28" s="232">
        <v>300</v>
      </c>
      <c r="G28" s="232">
        <v>300</v>
      </c>
      <c r="H28" s="233"/>
      <c r="I28" s="234"/>
      <c r="J28" s="457"/>
    </row>
    <row r="29" spans="1:10">
      <c r="A29" s="235"/>
      <c r="B29" s="236"/>
      <c r="C29" s="102" t="s">
        <v>212</v>
      </c>
      <c r="D29" s="103"/>
      <c r="E29" s="232">
        <v>2000</v>
      </c>
      <c r="F29" s="232">
        <v>1900</v>
      </c>
      <c r="G29" s="232">
        <v>300</v>
      </c>
      <c r="H29" s="233" t="s">
        <v>105</v>
      </c>
      <c r="I29" s="234"/>
      <c r="J29" s="457"/>
    </row>
    <row r="30" spans="1:10">
      <c r="A30" s="235"/>
      <c r="B30" s="236"/>
      <c r="C30" s="102" t="s">
        <v>17</v>
      </c>
      <c r="D30" s="103"/>
      <c r="E30" s="232">
        <v>4526</v>
      </c>
      <c r="F30" s="232">
        <v>4526</v>
      </c>
      <c r="G30" s="232">
        <v>2000</v>
      </c>
      <c r="H30" s="263" t="s">
        <v>106</v>
      </c>
      <c r="I30" s="234"/>
      <c r="J30" s="457"/>
    </row>
    <row r="31" spans="1:10">
      <c r="A31" s="237" t="s">
        <v>335</v>
      </c>
      <c r="B31" s="238"/>
      <c r="C31" s="239"/>
      <c r="D31" s="240"/>
      <c r="E31" s="241">
        <f>SUM(E25:E30)</f>
        <v>966</v>
      </c>
      <c r="F31" s="241">
        <f>SUM(F25:F30)</f>
        <v>0</v>
      </c>
      <c r="G31" s="241">
        <f>SUM(G25:G30)</f>
        <v>-9826</v>
      </c>
      <c r="H31" s="242" t="s">
        <v>106</v>
      </c>
      <c r="I31" s="243"/>
      <c r="J31" s="458"/>
    </row>
    <row r="32" spans="1:10">
      <c r="A32" s="244"/>
      <c r="B32" s="245"/>
      <c r="C32" s="246"/>
      <c r="D32" s="245"/>
      <c r="E32" s="246"/>
      <c r="F32" s="246"/>
      <c r="G32" s="246"/>
      <c r="H32" s="247"/>
      <c r="I32" s="248"/>
      <c r="J32" s="249"/>
    </row>
    <row r="33" spans="1:10">
      <c r="A33" s="244"/>
      <c r="B33" s="245"/>
      <c r="C33" s="246"/>
      <c r="D33" s="245"/>
      <c r="E33" s="246"/>
      <c r="F33" s="246"/>
      <c r="G33" s="246"/>
      <c r="H33" s="247"/>
      <c r="I33" s="248"/>
      <c r="J33" s="249"/>
    </row>
    <row r="34" spans="1:10">
      <c r="A34" s="253" t="s">
        <v>7</v>
      </c>
      <c r="B34" s="254"/>
      <c r="C34" s="253"/>
      <c r="D34" s="254"/>
      <c r="E34" s="136">
        <f>E15+E23+E31</f>
        <v>3000</v>
      </c>
      <c r="F34" s="136">
        <f>F15+F23+F31</f>
        <v>0</v>
      </c>
      <c r="G34" s="136">
        <f>G15+G23+G31</f>
        <v>-25739</v>
      </c>
      <c r="H34" s="263" t="s">
        <v>106</v>
      </c>
      <c r="I34" s="255"/>
      <c r="J34" s="256"/>
    </row>
  </sheetData>
  <customSheetViews>
    <customSheetView guid="{14394872-1C6D-42D5-AD0E-8F152B5DEE00}" showGridLines="0">
      <selection activeCell="C44" sqref="C44"/>
      <pageMargins left="0.75" right="0.75" top="1" bottom="1" header="0.5" footer="0.5"/>
      <pageSetup paperSize="9" scale="77" fitToHeight="2" orientation="landscape" r:id="rId1"/>
      <headerFooter alignWithMargins="0"/>
    </customSheetView>
  </customSheetViews>
  <mergeCells count="4">
    <mergeCell ref="E6:G6"/>
    <mergeCell ref="H6:H7"/>
    <mergeCell ref="J6:J7"/>
    <mergeCell ref="J9:J31"/>
  </mergeCells>
  <phoneticPr fontId="2" type="noConversion"/>
  <dataValidations count="1">
    <dataValidation type="decimal" allowBlank="1" showErrorMessage="1" errorTitle="Number Only" error="Error : This cell can only accept a numeric value with a max of 12 digits." sqref="E34:G34 E9:G15 E17:G31">
      <formula1>-1000000000000</formula1>
      <formula2>1000000000000</formula2>
    </dataValidation>
  </dataValidations>
  <pageMargins left="0.75" right="0.75" top="1" bottom="1" header="0.5" footer="0.5"/>
  <pageSetup paperSize="9" scale="77" fitToHeight="2"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sheetPr codeName="Sheet7">
    <pageSetUpPr fitToPage="1"/>
  </sheetPr>
  <dimension ref="A1:T61"/>
  <sheetViews>
    <sheetView showGridLines="0" topLeftCell="A13" zoomScaleNormal="100" workbookViewId="0">
      <selection activeCell="F31" sqref="A25:F31"/>
    </sheetView>
  </sheetViews>
  <sheetFormatPr defaultRowHeight="12.75"/>
  <cols>
    <col min="7" max="7" width="1.7109375" customWidth="1"/>
    <col min="14" max="14" width="1.7109375" customWidth="1"/>
  </cols>
  <sheetData>
    <row r="1" spans="1:15">
      <c r="A1" s="1" t="str">
        <f>'1 Key Financial Performance'!A1</f>
        <v>Finance Report Month 6 2011/12 - NHS Ealing, NHS Hillingdon and NHS Hounslow</v>
      </c>
    </row>
    <row r="3" spans="1:15">
      <c r="A3" s="1" t="s">
        <v>235</v>
      </c>
      <c r="H3" s="1"/>
      <c r="M3" s="1"/>
      <c r="O3" s="1"/>
    </row>
    <row r="4" spans="1:15">
      <c r="A4" s="1"/>
      <c r="H4" s="1"/>
    </row>
    <row r="7" spans="1:15" ht="12.75" customHeight="1"/>
    <row r="8" spans="1:15" ht="12.75" customHeight="1"/>
    <row r="9" spans="1:15">
      <c r="A9" t="s">
        <v>163</v>
      </c>
    </row>
    <row r="10" spans="1:15" ht="12.75" customHeight="1"/>
    <row r="12" spans="1:15" ht="14.25" customHeight="1"/>
    <row r="13" spans="1:15" ht="12.75" customHeight="1"/>
    <row r="14" spans="1:15" ht="12.75" customHeight="1">
      <c r="A14" t="s">
        <v>19</v>
      </c>
      <c r="B14" s="13"/>
      <c r="C14" s="13"/>
      <c r="D14" s="13"/>
      <c r="E14" s="13"/>
      <c r="F14" s="13"/>
      <c r="G14" s="13"/>
    </row>
    <row r="15" spans="1:15" ht="12.75" customHeight="1">
      <c r="A15" t="s">
        <v>28</v>
      </c>
      <c r="B15" s="13"/>
      <c r="C15" s="13"/>
      <c r="D15" s="13"/>
      <c r="E15" s="13"/>
      <c r="F15" s="13"/>
      <c r="G15" s="13"/>
    </row>
    <row r="16" spans="1:15" ht="12.75" customHeight="1"/>
    <row r="17" spans="1:20" ht="12.75" customHeight="1"/>
    <row r="18" spans="1:20" ht="12.75" customHeight="1"/>
    <row r="19" spans="1:20" ht="12.75" customHeight="1">
      <c r="A19" s="26"/>
      <c r="B19" s="26"/>
      <c r="C19" s="26"/>
      <c r="D19" s="26"/>
      <c r="E19" s="26"/>
      <c r="F19" s="26"/>
    </row>
    <row r="20" spans="1:20" ht="12.75" customHeight="1">
      <c r="A20" s="26"/>
      <c r="B20" s="26"/>
      <c r="C20" s="26"/>
      <c r="D20" s="26"/>
      <c r="E20" s="26"/>
      <c r="F20" s="26"/>
    </row>
    <row r="21" spans="1:20" ht="12.75" customHeight="1">
      <c r="A21" s="26"/>
      <c r="B21" s="26"/>
      <c r="C21" s="26"/>
      <c r="D21" s="26"/>
      <c r="E21" s="26"/>
      <c r="F21" s="26"/>
    </row>
    <row r="22" spans="1:20" ht="12.75" customHeight="1">
      <c r="A22" s="26"/>
      <c r="B22" s="26"/>
      <c r="C22" s="26"/>
      <c r="D22" s="26"/>
      <c r="E22" s="26"/>
      <c r="F22" s="26"/>
    </row>
    <row r="23" spans="1:20" ht="13.5" customHeight="1">
      <c r="A23" s="32"/>
      <c r="B23" s="32"/>
      <c r="C23" s="32"/>
      <c r="D23" s="32"/>
      <c r="E23" s="32"/>
      <c r="F23" s="32"/>
    </row>
    <row r="24" spans="1:20" ht="12.75" customHeight="1">
      <c r="A24" s="468" t="s">
        <v>42</v>
      </c>
      <c r="B24" s="469"/>
      <c r="C24" s="469"/>
      <c r="D24" s="469"/>
      <c r="E24" s="469"/>
      <c r="F24" s="470"/>
      <c r="H24" s="468" t="s">
        <v>42</v>
      </c>
      <c r="I24" s="469"/>
      <c r="J24" s="469"/>
      <c r="K24" s="469"/>
      <c r="L24" s="469"/>
      <c r="M24" s="470"/>
      <c r="O24" s="468" t="s">
        <v>42</v>
      </c>
      <c r="P24" s="469"/>
      <c r="Q24" s="469"/>
      <c r="R24" s="469"/>
      <c r="S24" s="469"/>
      <c r="T24" s="470"/>
    </row>
    <row r="25" spans="1:20" ht="12.75" customHeight="1">
      <c r="A25" s="419" t="s">
        <v>456</v>
      </c>
      <c r="B25" s="420"/>
      <c r="C25" s="420"/>
      <c r="D25" s="420"/>
      <c r="E25" s="420"/>
      <c r="F25" s="421"/>
      <c r="H25" s="419" t="s">
        <v>461</v>
      </c>
      <c r="I25" s="420"/>
      <c r="J25" s="420"/>
      <c r="K25" s="420"/>
      <c r="L25" s="420"/>
      <c r="M25" s="421"/>
      <c r="O25" s="475" t="s">
        <v>465</v>
      </c>
      <c r="P25" s="476"/>
      <c r="Q25" s="476"/>
      <c r="R25" s="476"/>
      <c r="S25" s="476"/>
      <c r="T25" s="477"/>
    </row>
    <row r="26" spans="1:20" ht="12.75" customHeight="1">
      <c r="A26" s="425" t="s">
        <v>457</v>
      </c>
      <c r="B26" s="430"/>
      <c r="C26" s="430"/>
      <c r="D26" s="430"/>
      <c r="E26" s="430"/>
      <c r="F26" s="426"/>
      <c r="H26" s="425" t="s">
        <v>462</v>
      </c>
      <c r="I26" s="430"/>
      <c r="J26" s="430"/>
      <c r="K26" s="430"/>
      <c r="L26" s="430"/>
      <c r="M26" s="426"/>
      <c r="O26" s="475"/>
      <c r="P26" s="476"/>
      <c r="Q26" s="476"/>
      <c r="R26" s="476"/>
      <c r="S26" s="476"/>
      <c r="T26" s="477"/>
    </row>
    <row r="27" spans="1:20" ht="12.75" customHeight="1">
      <c r="A27" s="425" t="s">
        <v>458</v>
      </c>
      <c r="B27" s="430"/>
      <c r="C27" s="430"/>
      <c r="D27" s="430"/>
      <c r="E27" s="430"/>
      <c r="F27" s="426"/>
      <c r="H27" s="425"/>
      <c r="I27" s="430"/>
      <c r="J27" s="430"/>
      <c r="K27" s="430"/>
      <c r="L27" s="430"/>
      <c r="M27" s="426"/>
      <c r="O27" s="475"/>
      <c r="P27" s="476"/>
      <c r="Q27" s="476"/>
      <c r="R27" s="476"/>
      <c r="S27" s="476"/>
      <c r="T27" s="477"/>
    </row>
    <row r="28" spans="1:20">
      <c r="A28" s="425" t="s">
        <v>466</v>
      </c>
      <c r="B28" s="430"/>
      <c r="C28" s="430"/>
      <c r="D28" s="430"/>
      <c r="E28" s="430"/>
      <c r="F28" s="426"/>
      <c r="H28" s="113"/>
      <c r="I28" s="264"/>
      <c r="J28" s="264"/>
      <c r="K28" s="264"/>
      <c r="L28" s="264"/>
      <c r="M28" s="114"/>
      <c r="O28" s="475"/>
      <c r="P28" s="476"/>
      <c r="Q28" s="476"/>
      <c r="R28" s="476"/>
      <c r="S28" s="476"/>
      <c r="T28" s="477"/>
    </row>
    <row r="29" spans="1:20" ht="16.5" customHeight="1">
      <c r="A29" s="425" t="s">
        <v>459</v>
      </c>
      <c r="B29" s="430"/>
      <c r="C29" s="430"/>
      <c r="D29" s="430"/>
      <c r="E29" s="430"/>
      <c r="F29" s="426"/>
      <c r="H29" s="113"/>
      <c r="I29" s="264"/>
      <c r="J29" s="264"/>
      <c r="K29" s="264"/>
      <c r="L29" s="264"/>
      <c r="M29" s="114"/>
      <c r="O29" s="475"/>
      <c r="P29" s="476"/>
      <c r="Q29" s="476"/>
      <c r="R29" s="476"/>
      <c r="S29" s="476"/>
      <c r="T29" s="477"/>
    </row>
    <row r="30" spans="1:20" ht="12.75" customHeight="1">
      <c r="A30" s="425" t="s">
        <v>460</v>
      </c>
      <c r="B30" s="430"/>
      <c r="C30" s="430"/>
      <c r="D30" s="430"/>
      <c r="E30" s="430"/>
      <c r="F30" s="426"/>
      <c r="H30" s="113"/>
      <c r="I30" s="264"/>
      <c r="J30" s="264"/>
      <c r="K30" s="264"/>
      <c r="L30" s="264"/>
      <c r="M30" s="114"/>
      <c r="O30" s="475"/>
      <c r="P30" s="476"/>
      <c r="Q30" s="476"/>
      <c r="R30" s="476"/>
      <c r="S30" s="476"/>
      <c r="T30" s="477"/>
    </row>
    <row r="31" spans="1:20" ht="11.25" customHeight="1">
      <c r="A31" s="428"/>
      <c r="B31" s="427"/>
      <c r="C31" s="427"/>
      <c r="D31" s="427"/>
      <c r="E31" s="427"/>
      <c r="F31" s="429"/>
      <c r="H31" s="160"/>
      <c r="I31" s="146"/>
      <c r="J31" s="146"/>
      <c r="K31" s="146"/>
      <c r="L31" s="146"/>
      <c r="M31" s="166"/>
      <c r="O31" s="475"/>
      <c r="P31" s="476"/>
      <c r="Q31" s="476"/>
      <c r="R31" s="476"/>
      <c r="S31" s="476"/>
      <c r="T31" s="477"/>
    </row>
    <row r="32" spans="1:20" ht="27.75" customHeight="1">
      <c r="A32" s="428"/>
      <c r="B32" s="427"/>
      <c r="C32" s="427"/>
      <c r="D32" s="427"/>
      <c r="E32" s="427"/>
      <c r="F32" s="429"/>
      <c r="H32" s="160"/>
      <c r="I32" s="146"/>
      <c r="J32" s="146"/>
      <c r="K32" s="146"/>
      <c r="L32" s="146"/>
      <c r="M32" s="166"/>
      <c r="O32" s="475"/>
      <c r="P32" s="476"/>
      <c r="Q32" s="476"/>
      <c r="R32" s="476"/>
      <c r="S32" s="476"/>
      <c r="T32" s="477"/>
    </row>
    <row r="33" spans="1:20" ht="12.75" customHeight="1">
      <c r="A33" s="428"/>
      <c r="B33" s="427"/>
      <c r="C33" s="427"/>
      <c r="D33" s="427"/>
      <c r="E33" s="427"/>
      <c r="F33" s="429"/>
      <c r="H33" s="160"/>
      <c r="I33" s="146"/>
      <c r="J33" s="146"/>
      <c r="K33" s="146"/>
      <c r="L33" s="146"/>
      <c r="M33" s="166"/>
      <c r="O33" s="475"/>
      <c r="P33" s="476"/>
      <c r="Q33" s="476"/>
      <c r="R33" s="476"/>
      <c r="S33" s="476"/>
      <c r="T33" s="477"/>
    </row>
    <row r="34" spans="1:20">
      <c r="A34" s="422"/>
      <c r="B34" s="423"/>
      <c r="C34" s="423"/>
      <c r="D34" s="423"/>
      <c r="E34" s="423"/>
      <c r="F34" s="424"/>
      <c r="H34" s="35"/>
      <c r="I34" s="36"/>
      <c r="J34" s="36"/>
      <c r="K34" s="36"/>
      <c r="L34" s="36"/>
      <c r="M34" s="37"/>
      <c r="O34" s="478"/>
      <c r="P34" s="479"/>
      <c r="Q34" s="479"/>
      <c r="R34" s="479"/>
      <c r="S34" s="479"/>
      <c r="T34" s="480"/>
    </row>
    <row r="35" spans="1:20">
      <c r="A35" s="179"/>
      <c r="B35" s="179"/>
      <c r="C35" s="179"/>
      <c r="D35" s="179"/>
      <c r="E35" s="179"/>
      <c r="F35" s="179"/>
      <c r="G35" s="156"/>
      <c r="H35" s="296"/>
    </row>
    <row r="36" spans="1:20">
      <c r="A36" s="471" t="s">
        <v>46</v>
      </c>
      <c r="B36" s="472"/>
      <c r="C36" s="472"/>
      <c r="D36" s="472"/>
      <c r="E36" s="472"/>
      <c r="F36" s="472"/>
      <c r="G36" s="472"/>
      <c r="H36" s="473"/>
      <c r="I36" s="473"/>
      <c r="J36" s="473"/>
      <c r="K36" s="473"/>
      <c r="L36" s="473"/>
      <c r="M36" s="473"/>
      <c r="N36" s="473"/>
      <c r="O36" s="473"/>
      <c r="P36" s="473"/>
      <c r="Q36" s="473"/>
      <c r="R36" s="473"/>
      <c r="S36" s="473"/>
      <c r="T36" s="474"/>
    </row>
    <row r="37" spans="1:20" ht="12.75" customHeight="1">
      <c r="A37" s="459" t="s">
        <v>464</v>
      </c>
      <c r="B37" s="460"/>
      <c r="C37" s="460"/>
      <c r="D37" s="460"/>
      <c r="E37" s="460"/>
      <c r="F37" s="460"/>
      <c r="G37" s="460"/>
      <c r="H37" s="461"/>
      <c r="I37" s="461"/>
      <c r="J37" s="461"/>
      <c r="K37" s="461"/>
      <c r="L37" s="461"/>
      <c r="M37" s="461"/>
      <c r="N37" s="461"/>
      <c r="O37" s="461"/>
      <c r="P37" s="461"/>
      <c r="Q37" s="461"/>
      <c r="R37" s="461"/>
      <c r="S37" s="461"/>
      <c r="T37" s="462"/>
    </row>
    <row r="38" spans="1:20">
      <c r="A38" s="463"/>
      <c r="B38" s="460"/>
      <c r="C38" s="460"/>
      <c r="D38" s="460"/>
      <c r="E38" s="460"/>
      <c r="F38" s="460"/>
      <c r="G38" s="460"/>
      <c r="H38" s="461"/>
      <c r="I38" s="461"/>
      <c r="J38" s="461"/>
      <c r="K38" s="461"/>
      <c r="L38" s="461"/>
      <c r="M38" s="461"/>
      <c r="N38" s="461"/>
      <c r="O38" s="461"/>
      <c r="P38" s="461"/>
      <c r="Q38" s="461"/>
      <c r="R38" s="461"/>
      <c r="S38" s="461"/>
      <c r="T38" s="462"/>
    </row>
    <row r="39" spans="1:20">
      <c r="A39" s="463"/>
      <c r="B39" s="460"/>
      <c r="C39" s="460"/>
      <c r="D39" s="460"/>
      <c r="E39" s="460"/>
      <c r="F39" s="460"/>
      <c r="G39" s="460"/>
      <c r="H39" s="461"/>
      <c r="I39" s="461"/>
      <c r="J39" s="461"/>
      <c r="K39" s="461"/>
      <c r="L39" s="461"/>
      <c r="M39" s="461"/>
      <c r="N39" s="461"/>
      <c r="O39" s="461"/>
      <c r="P39" s="461"/>
      <c r="Q39" s="461"/>
      <c r="R39" s="461"/>
      <c r="S39" s="461"/>
      <c r="T39" s="462"/>
    </row>
    <row r="40" spans="1:20">
      <c r="A40" s="463"/>
      <c r="B40" s="460"/>
      <c r="C40" s="460"/>
      <c r="D40" s="460"/>
      <c r="E40" s="460"/>
      <c r="F40" s="460"/>
      <c r="G40" s="460"/>
      <c r="H40" s="461"/>
      <c r="I40" s="461"/>
      <c r="J40" s="461"/>
      <c r="K40" s="461"/>
      <c r="L40" s="461"/>
      <c r="M40" s="461"/>
      <c r="N40" s="461"/>
      <c r="O40" s="461"/>
      <c r="P40" s="461"/>
      <c r="Q40" s="461"/>
      <c r="R40" s="461"/>
      <c r="S40" s="461"/>
      <c r="T40" s="462"/>
    </row>
    <row r="41" spans="1:20">
      <c r="A41" s="463"/>
      <c r="B41" s="460"/>
      <c r="C41" s="460"/>
      <c r="D41" s="460"/>
      <c r="E41" s="460"/>
      <c r="F41" s="460"/>
      <c r="G41" s="460"/>
      <c r="H41" s="461"/>
      <c r="I41" s="461"/>
      <c r="J41" s="461"/>
      <c r="K41" s="461"/>
      <c r="L41" s="461"/>
      <c r="M41" s="461"/>
      <c r="N41" s="461"/>
      <c r="O41" s="461"/>
      <c r="P41" s="461"/>
      <c r="Q41" s="461"/>
      <c r="R41" s="461"/>
      <c r="S41" s="461"/>
      <c r="T41" s="462"/>
    </row>
    <row r="42" spans="1:20">
      <c r="A42" s="464"/>
      <c r="B42" s="461"/>
      <c r="C42" s="461"/>
      <c r="D42" s="461"/>
      <c r="E42" s="461"/>
      <c r="F42" s="461"/>
      <c r="G42" s="461"/>
      <c r="H42" s="461"/>
      <c r="I42" s="461"/>
      <c r="J42" s="461"/>
      <c r="K42" s="461"/>
      <c r="L42" s="461"/>
      <c r="M42" s="461"/>
      <c r="N42" s="461"/>
      <c r="O42" s="461"/>
      <c r="P42" s="461"/>
      <c r="Q42" s="461"/>
      <c r="R42" s="461"/>
      <c r="S42" s="461"/>
      <c r="T42" s="462"/>
    </row>
    <row r="43" spans="1:20">
      <c r="A43" s="464"/>
      <c r="B43" s="461"/>
      <c r="C43" s="461"/>
      <c r="D43" s="461"/>
      <c r="E43" s="461"/>
      <c r="F43" s="461"/>
      <c r="G43" s="461"/>
      <c r="H43" s="461"/>
      <c r="I43" s="461"/>
      <c r="J43" s="461"/>
      <c r="K43" s="461"/>
      <c r="L43" s="461"/>
      <c r="M43" s="461"/>
      <c r="N43" s="461"/>
      <c r="O43" s="461"/>
      <c r="P43" s="461"/>
      <c r="Q43" s="461"/>
      <c r="R43" s="461"/>
      <c r="S43" s="461"/>
      <c r="T43" s="462"/>
    </row>
    <row r="44" spans="1:20">
      <c r="A44" s="465"/>
      <c r="B44" s="466"/>
      <c r="C44" s="466"/>
      <c r="D44" s="466"/>
      <c r="E44" s="466"/>
      <c r="F44" s="466"/>
      <c r="G44" s="466"/>
      <c r="H44" s="466"/>
      <c r="I44" s="466"/>
      <c r="J44" s="466"/>
      <c r="K44" s="466"/>
      <c r="L44" s="466"/>
      <c r="M44" s="466"/>
      <c r="N44" s="466"/>
      <c r="O44" s="466"/>
      <c r="P44" s="466"/>
      <c r="Q44" s="466"/>
      <c r="R44" s="466"/>
      <c r="S44" s="466"/>
      <c r="T44" s="467"/>
    </row>
    <row r="55" spans="8:13">
      <c r="M55" s="26"/>
    </row>
    <row r="56" spans="8:13">
      <c r="H56" s="298"/>
      <c r="I56" s="297"/>
      <c r="J56" s="297"/>
      <c r="K56" s="297"/>
      <c r="L56" s="297"/>
      <c r="M56" s="298"/>
    </row>
    <row r="57" spans="8:13" ht="12.75" customHeight="1">
      <c r="H57" s="298"/>
      <c r="I57" s="297"/>
      <c r="J57" s="297"/>
      <c r="K57" s="297"/>
      <c r="L57" s="297"/>
      <c r="M57" s="298"/>
    </row>
    <row r="58" spans="8:13">
      <c r="H58" s="298"/>
      <c r="I58" s="297"/>
      <c r="J58" s="297"/>
      <c r="K58" s="297"/>
      <c r="L58" s="297"/>
      <c r="M58" s="298"/>
    </row>
    <row r="59" spans="8:13">
      <c r="H59" s="298"/>
      <c r="I59" s="297"/>
      <c r="J59" s="297"/>
      <c r="K59" s="297"/>
      <c r="L59" s="297"/>
      <c r="M59" s="298"/>
    </row>
    <row r="60" spans="8:13">
      <c r="M60" s="26"/>
    </row>
    <row r="61" spans="8:13">
      <c r="M61" s="26"/>
    </row>
  </sheetData>
  <customSheetViews>
    <customSheetView guid="{14394872-1C6D-42D5-AD0E-8F152B5DEE00}" showGridLines="0" fitToPage="1">
      <selection activeCell="D28" sqref="D28"/>
      <pageMargins left="0.75" right="0.75" top="1" bottom="1" header="0.5" footer="0.5"/>
      <pageSetup paperSize="9" scale="74" orientation="landscape" r:id="rId1"/>
      <headerFooter alignWithMargins="0"/>
    </customSheetView>
  </customSheetViews>
  <mergeCells count="6">
    <mergeCell ref="A37:T44"/>
    <mergeCell ref="O24:T24"/>
    <mergeCell ref="A36:T36"/>
    <mergeCell ref="A24:F24"/>
    <mergeCell ref="H24:M24"/>
    <mergeCell ref="O25:T34"/>
  </mergeCells>
  <phoneticPr fontId="2" type="noConversion"/>
  <pageMargins left="0.75" right="0.75" top="1" bottom="1" header="0.5" footer="0.5"/>
  <pageSetup paperSize="9" scale="74"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sheetPr>
    <pageSetUpPr fitToPage="1"/>
  </sheetPr>
  <dimension ref="A1:T62"/>
  <sheetViews>
    <sheetView topLeftCell="A14" workbookViewId="0">
      <selection activeCell="A38" sqref="A38:T45"/>
    </sheetView>
  </sheetViews>
  <sheetFormatPr defaultRowHeight="12.75"/>
  <cols>
    <col min="7" max="7" width="1.7109375" customWidth="1"/>
    <col min="14" max="14" width="1.7109375" customWidth="1"/>
  </cols>
  <sheetData>
    <row r="1" spans="1:15">
      <c r="A1" s="1" t="str">
        <f>'1 Key Financial Performance'!A1</f>
        <v>Finance Report Month 6 2011/12 - NHS Ealing, NHS Hillingdon and NHS Hounslow</v>
      </c>
    </row>
    <row r="3" spans="1:15">
      <c r="A3" s="1" t="s">
        <v>237</v>
      </c>
      <c r="H3" s="1"/>
      <c r="M3" s="1"/>
      <c r="O3" s="1"/>
    </row>
    <row r="4" spans="1:15">
      <c r="A4" s="1"/>
      <c r="H4" s="1"/>
    </row>
    <row r="7" spans="1:15" ht="12.75" customHeight="1"/>
    <row r="8" spans="1:15" ht="12.75" customHeight="1"/>
    <row r="9" spans="1:15">
      <c r="A9" t="s">
        <v>163</v>
      </c>
    </row>
    <row r="10" spans="1:15" ht="12.75" customHeight="1"/>
    <row r="12" spans="1:15" ht="14.25" customHeight="1"/>
    <row r="13" spans="1:15" ht="12.75" customHeight="1"/>
    <row r="14" spans="1:15" ht="12.75" customHeight="1">
      <c r="A14" t="s">
        <v>19</v>
      </c>
      <c r="B14" s="13"/>
      <c r="C14" s="13"/>
      <c r="D14" s="13"/>
      <c r="E14" s="13"/>
      <c r="F14" s="13"/>
      <c r="G14" s="13"/>
    </row>
    <row r="15" spans="1:15" ht="12.75" customHeight="1">
      <c r="A15" t="s">
        <v>28</v>
      </c>
      <c r="B15" s="13"/>
      <c r="C15" s="13"/>
      <c r="D15" s="13"/>
      <c r="E15" s="13"/>
      <c r="F15" s="13"/>
      <c r="G15" s="13"/>
    </row>
    <row r="16" spans="1:15" ht="12.75" customHeight="1"/>
    <row r="17" spans="1:20" ht="12.75" customHeight="1"/>
    <row r="18" spans="1:20" ht="12.75" customHeight="1"/>
    <row r="19" spans="1:20" ht="12.75" customHeight="1">
      <c r="A19" s="26"/>
      <c r="B19" s="26"/>
      <c r="C19" s="26"/>
      <c r="D19" s="26"/>
      <c r="E19" s="26"/>
      <c r="F19" s="26"/>
    </row>
    <row r="20" spans="1:20" ht="12.75" customHeight="1">
      <c r="A20" s="26"/>
      <c r="B20" s="26"/>
      <c r="C20" s="26"/>
      <c r="D20" s="26"/>
      <c r="E20" s="26"/>
      <c r="F20" s="26"/>
    </row>
    <row r="21" spans="1:20" ht="12.75" customHeight="1">
      <c r="A21" s="26"/>
      <c r="B21" s="26"/>
      <c r="C21" s="26"/>
      <c r="D21" s="26"/>
      <c r="E21" s="26"/>
      <c r="F21" s="26"/>
    </row>
    <row r="22" spans="1:20" ht="12.75" customHeight="1">
      <c r="A22" s="26"/>
      <c r="B22" s="26"/>
      <c r="C22" s="26"/>
      <c r="D22" s="26"/>
      <c r="E22" s="26"/>
      <c r="F22" s="26"/>
    </row>
    <row r="23" spans="1:20" ht="13.5" customHeight="1">
      <c r="A23" s="32"/>
      <c r="B23" s="32"/>
      <c r="C23" s="32"/>
      <c r="D23" s="32"/>
      <c r="E23" s="32"/>
      <c r="F23" s="32"/>
    </row>
    <row r="24" spans="1:20" ht="12.75" customHeight="1">
      <c r="A24" s="468" t="s">
        <v>42</v>
      </c>
      <c r="B24" s="469"/>
      <c r="C24" s="469"/>
      <c r="D24" s="469"/>
      <c r="E24" s="469"/>
      <c r="F24" s="470"/>
      <c r="H24" s="468" t="s">
        <v>42</v>
      </c>
      <c r="I24" s="469"/>
      <c r="J24" s="469"/>
      <c r="K24" s="469"/>
      <c r="L24" s="469"/>
      <c r="M24" s="470"/>
      <c r="O24" s="468" t="s">
        <v>42</v>
      </c>
      <c r="P24" s="469"/>
      <c r="Q24" s="469"/>
      <c r="R24" s="469"/>
      <c r="S24" s="469"/>
      <c r="T24" s="470"/>
    </row>
    <row r="25" spans="1:20" ht="12.75" customHeight="1">
      <c r="A25" s="482" t="s">
        <v>322</v>
      </c>
      <c r="B25" s="476"/>
      <c r="C25" s="476"/>
      <c r="D25" s="476"/>
      <c r="E25" s="476"/>
      <c r="F25" s="477"/>
      <c r="H25" s="500" t="s">
        <v>468</v>
      </c>
      <c r="I25" s="501"/>
      <c r="J25" s="501"/>
      <c r="K25" s="501"/>
      <c r="L25" s="501"/>
      <c r="M25" s="502"/>
      <c r="O25" s="488" t="s">
        <v>347</v>
      </c>
      <c r="P25" s="489"/>
      <c r="Q25" s="489"/>
      <c r="R25" s="489"/>
      <c r="S25" s="489"/>
      <c r="T25" s="490"/>
    </row>
    <row r="26" spans="1:20" ht="12.75" customHeight="1">
      <c r="A26" s="475"/>
      <c r="B26" s="476"/>
      <c r="C26" s="476"/>
      <c r="D26" s="476"/>
      <c r="E26" s="476"/>
      <c r="F26" s="477"/>
      <c r="H26" s="500"/>
      <c r="I26" s="501"/>
      <c r="J26" s="501"/>
      <c r="K26" s="501"/>
      <c r="L26" s="501"/>
      <c r="M26" s="502"/>
      <c r="O26" s="488"/>
      <c r="P26" s="489"/>
      <c r="Q26" s="489"/>
      <c r="R26" s="489"/>
      <c r="S26" s="489"/>
      <c r="T26" s="490"/>
    </row>
    <row r="27" spans="1:20" ht="12.75" customHeight="1">
      <c r="A27" s="475"/>
      <c r="B27" s="476"/>
      <c r="C27" s="476"/>
      <c r="D27" s="476"/>
      <c r="E27" s="476"/>
      <c r="F27" s="477"/>
      <c r="H27" s="500"/>
      <c r="I27" s="501"/>
      <c r="J27" s="501"/>
      <c r="K27" s="501"/>
      <c r="L27" s="501"/>
      <c r="M27" s="502"/>
      <c r="O27" s="497" t="s">
        <v>348</v>
      </c>
      <c r="P27" s="498"/>
      <c r="Q27" s="498"/>
      <c r="R27" s="498"/>
      <c r="S27" s="498"/>
      <c r="T27" s="499"/>
    </row>
    <row r="28" spans="1:20">
      <c r="A28" s="482" t="s">
        <v>310</v>
      </c>
      <c r="B28" s="476"/>
      <c r="C28" s="476"/>
      <c r="D28" s="476"/>
      <c r="E28" s="476"/>
      <c r="F28" s="477"/>
      <c r="H28" s="482" t="s">
        <v>469</v>
      </c>
      <c r="I28" s="483"/>
      <c r="J28" s="483"/>
      <c r="K28" s="483"/>
      <c r="L28" s="483"/>
      <c r="M28" s="484"/>
      <c r="O28" s="497"/>
      <c r="P28" s="498"/>
      <c r="Q28" s="498"/>
      <c r="R28" s="498"/>
      <c r="S28" s="498"/>
      <c r="T28" s="499"/>
    </row>
    <row r="29" spans="1:20" ht="16.5" customHeight="1">
      <c r="A29" s="475"/>
      <c r="B29" s="476"/>
      <c r="C29" s="476"/>
      <c r="D29" s="476"/>
      <c r="E29" s="476"/>
      <c r="F29" s="477"/>
      <c r="H29" s="482"/>
      <c r="I29" s="483"/>
      <c r="J29" s="483"/>
      <c r="K29" s="483"/>
      <c r="L29" s="483"/>
      <c r="M29" s="484"/>
      <c r="O29" s="497" t="s">
        <v>471</v>
      </c>
      <c r="P29" s="498"/>
      <c r="Q29" s="498"/>
      <c r="R29" s="498"/>
      <c r="S29" s="498"/>
      <c r="T29" s="499"/>
    </row>
    <row r="30" spans="1:20" ht="12.75" customHeight="1">
      <c r="A30" s="475"/>
      <c r="B30" s="476"/>
      <c r="C30" s="476"/>
      <c r="D30" s="476"/>
      <c r="E30" s="476"/>
      <c r="F30" s="477"/>
      <c r="H30" s="482" t="s">
        <v>470</v>
      </c>
      <c r="I30" s="483"/>
      <c r="J30" s="483"/>
      <c r="K30" s="483"/>
      <c r="L30" s="483"/>
      <c r="M30" s="484"/>
      <c r="O30" s="497"/>
      <c r="P30" s="498"/>
      <c r="Q30" s="498"/>
      <c r="R30" s="498"/>
      <c r="S30" s="498"/>
      <c r="T30" s="499"/>
    </row>
    <row r="31" spans="1:20" ht="11.25" customHeight="1">
      <c r="A31" s="482" t="s">
        <v>311</v>
      </c>
      <c r="B31" s="483"/>
      <c r="C31" s="483"/>
      <c r="D31" s="483"/>
      <c r="E31" s="483"/>
      <c r="F31" s="484"/>
      <c r="H31" s="482"/>
      <c r="I31" s="483"/>
      <c r="J31" s="483"/>
      <c r="K31" s="483"/>
      <c r="L31" s="483"/>
      <c r="M31" s="484"/>
      <c r="O31" s="497"/>
      <c r="P31" s="498"/>
      <c r="Q31" s="498"/>
      <c r="R31" s="498"/>
      <c r="S31" s="498"/>
      <c r="T31" s="499"/>
    </row>
    <row r="32" spans="1:20">
      <c r="A32" s="482"/>
      <c r="B32" s="483"/>
      <c r="C32" s="483"/>
      <c r="D32" s="483"/>
      <c r="E32" s="483"/>
      <c r="F32" s="484"/>
      <c r="H32" s="482"/>
      <c r="I32" s="483"/>
      <c r="J32" s="483"/>
      <c r="K32" s="483"/>
      <c r="L32" s="483"/>
      <c r="M32" s="484"/>
      <c r="O32" s="497" t="s">
        <v>349</v>
      </c>
      <c r="P32" s="498"/>
      <c r="Q32" s="498"/>
      <c r="R32" s="498"/>
      <c r="S32" s="498"/>
      <c r="T32" s="499"/>
    </row>
    <row r="33" spans="1:20" ht="12.75" customHeight="1">
      <c r="A33" s="482" t="s">
        <v>467</v>
      </c>
      <c r="B33" s="483"/>
      <c r="C33" s="483"/>
      <c r="D33" s="483"/>
      <c r="E33" s="483"/>
      <c r="F33" s="484"/>
      <c r="H33" s="482"/>
      <c r="I33" s="483"/>
      <c r="J33" s="483"/>
      <c r="K33" s="483"/>
      <c r="L33" s="483"/>
      <c r="M33" s="484"/>
      <c r="O33" s="497"/>
      <c r="P33" s="498"/>
      <c r="Q33" s="498"/>
      <c r="R33" s="498"/>
      <c r="S33" s="498"/>
      <c r="T33" s="499"/>
    </row>
    <row r="34" spans="1:20" ht="12.75" customHeight="1">
      <c r="A34" s="482"/>
      <c r="B34" s="483"/>
      <c r="C34" s="483"/>
      <c r="D34" s="483"/>
      <c r="E34" s="483"/>
      <c r="F34" s="484"/>
      <c r="H34" s="482"/>
      <c r="I34" s="483"/>
      <c r="J34" s="483"/>
      <c r="K34" s="483"/>
      <c r="L34" s="483"/>
      <c r="M34" s="484"/>
      <c r="O34" s="369"/>
      <c r="P34" s="370"/>
      <c r="Q34" s="370"/>
      <c r="R34" s="370"/>
      <c r="S34" s="370"/>
      <c r="T34" s="371"/>
    </row>
    <row r="35" spans="1:20">
      <c r="A35" s="485"/>
      <c r="B35" s="486"/>
      <c r="C35" s="486"/>
      <c r="D35" s="486"/>
      <c r="E35" s="486"/>
      <c r="F35" s="487"/>
      <c r="H35" s="485"/>
      <c r="I35" s="486"/>
      <c r="J35" s="486"/>
      <c r="K35" s="486"/>
      <c r="L35" s="486"/>
      <c r="M35" s="487"/>
      <c r="O35" s="372"/>
      <c r="P35" s="373"/>
      <c r="Q35" s="373"/>
      <c r="R35" s="373"/>
      <c r="S35" s="373"/>
      <c r="T35" s="374"/>
    </row>
    <row r="36" spans="1:20">
      <c r="A36" s="179"/>
      <c r="B36" s="179"/>
      <c r="C36" s="179"/>
      <c r="D36" s="179"/>
      <c r="E36" s="179"/>
      <c r="F36" s="179"/>
      <c r="G36" s="156"/>
      <c r="H36" s="296"/>
    </row>
    <row r="37" spans="1:20" ht="12.75" customHeight="1">
      <c r="A37" s="471" t="s">
        <v>46</v>
      </c>
      <c r="B37" s="472"/>
      <c r="C37" s="472"/>
      <c r="D37" s="472"/>
      <c r="E37" s="472"/>
      <c r="F37" s="472"/>
      <c r="G37" s="472"/>
      <c r="H37" s="472"/>
      <c r="I37" s="472"/>
      <c r="J37" s="472"/>
      <c r="K37" s="472"/>
      <c r="L37" s="472"/>
      <c r="M37" s="472"/>
      <c r="N37" s="472"/>
      <c r="O37" s="472"/>
      <c r="P37" s="472"/>
      <c r="Q37" s="472"/>
      <c r="R37" s="472"/>
      <c r="S37" s="472"/>
      <c r="T37" s="481"/>
    </row>
    <row r="38" spans="1:20">
      <c r="A38" s="459" t="s">
        <v>478</v>
      </c>
      <c r="B38" s="491"/>
      <c r="C38" s="491"/>
      <c r="D38" s="491"/>
      <c r="E38" s="491"/>
      <c r="F38" s="491"/>
      <c r="G38" s="491"/>
      <c r="H38" s="491"/>
      <c r="I38" s="491"/>
      <c r="J38" s="491"/>
      <c r="K38" s="491"/>
      <c r="L38" s="491"/>
      <c r="M38" s="491"/>
      <c r="N38" s="491"/>
      <c r="O38" s="491"/>
      <c r="P38" s="491"/>
      <c r="Q38" s="491"/>
      <c r="R38" s="491"/>
      <c r="S38" s="491"/>
      <c r="T38" s="492"/>
    </row>
    <row r="39" spans="1:20">
      <c r="A39" s="493"/>
      <c r="B39" s="491"/>
      <c r="C39" s="491"/>
      <c r="D39" s="491"/>
      <c r="E39" s="491"/>
      <c r="F39" s="491"/>
      <c r="G39" s="491"/>
      <c r="H39" s="491"/>
      <c r="I39" s="491"/>
      <c r="J39" s="491"/>
      <c r="K39" s="491"/>
      <c r="L39" s="491"/>
      <c r="M39" s="491"/>
      <c r="N39" s="491"/>
      <c r="O39" s="491"/>
      <c r="P39" s="491"/>
      <c r="Q39" s="491"/>
      <c r="R39" s="491"/>
      <c r="S39" s="491"/>
      <c r="T39" s="492"/>
    </row>
    <row r="40" spans="1:20">
      <c r="A40" s="493"/>
      <c r="B40" s="491"/>
      <c r="C40" s="491"/>
      <c r="D40" s="491"/>
      <c r="E40" s="491"/>
      <c r="F40" s="491"/>
      <c r="G40" s="491"/>
      <c r="H40" s="491"/>
      <c r="I40" s="491"/>
      <c r="J40" s="491"/>
      <c r="K40" s="491"/>
      <c r="L40" s="491"/>
      <c r="M40" s="491"/>
      <c r="N40" s="491"/>
      <c r="O40" s="491"/>
      <c r="P40" s="491"/>
      <c r="Q40" s="491"/>
      <c r="R40" s="491"/>
      <c r="S40" s="491"/>
      <c r="T40" s="492"/>
    </row>
    <row r="41" spans="1:20">
      <c r="A41" s="493"/>
      <c r="B41" s="491"/>
      <c r="C41" s="491"/>
      <c r="D41" s="491"/>
      <c r="E41" s="491"/>
      <c r="F41" s="491"/>
      <c r="G41" s="491"/>
      <c r="H41" s="491"/>
      <c r="I41" s="491"/>
      <c r="J41" s="491"/>
      <c r="K41" s="491"/>
      <c r="L41" s="491"/>
      <c r="M41" s="491"/>
      <c r="N41" s="491"/>
      <c r="O41" s="491"/>
      <c r="P41" s="491"/>
      <c r="Q41" s="491"/>
      <c r="R41" s="491"/>
      <c r="S41" s="491"/>
      <c r="T41" s="492"/>
    </row>
    <row r="42" spans="1:20">
      <c r="A42" s="493"/>
      <c r="B42" s="491"/>
      <c r="C42" s="491"/>
      <c r="D42" s="491"/>
      <c r="E42" s="491"/>
      <c r="F42" s="491"/>
      <c r="G42" s="491"/>
      <c r="H42" s="491"/>
      <c r="I42" s="491"/>
      <c r="J42" s="491"/>
      <c r="K42" s="491"/>
      <c r="L42" s="491"/>
      <c r="M42" s="491"/>
      <c r="N42" s="491"/>
      <c r="O42" s="491"/>
      <c r="P42" s="491"/>
      <c r="Q42" s="491"/>
      <c r="R42" s="491"/>
      <c r="S42" s="491"/>
      <c r="T42" s="492"/>
    </row>
    <row r="43" spans="1:20">
      <c r="A43" s="493"/>
      <c r="B43" s="491"/>
      <c r="C43" s="491"/>
      <c r="D43" s="491"/>
      <c r="E43" s="491"/>
      <c r="F43" s="491"/>
      <c r="G43" s="491"/>
      <c r="H43" s="491"/>
      <c r="I43" s="491"/>
      <c r="J43" s="491"/>
      <c r="K43" s="491"/>
      <c r="L43" s="491"/>
      <c r="M43" s="491"/>
      <c r="N43" s="491"/>
      <c r="O43" s="491"/>
      <c r="P43" s="491"/>
      <c r="Q43" s="491"/>
      <c r="R43" s="491"/>
      <c r="S43" s="491"/>
      <c r="T43" s="492"/>
    </row>
    <row r="44" spans="1:20">
      <c r="A44" s="493"/>
      <c r="B44" s="491"/>
      <c r="C44" s="491"/>
      <c r="D44" s="491"/>
      <c r="E44" s="491"/>
      <c r="F44" s="491"/>
      <c r="G44" s="491"/>
      <c r="H44" s="491"/>
      <c r="I44" s="491"/>
      <c r="J44" s="491"/>
      <c r="K44" s="491"/>
      <c r="L44" s="491"/>
      <c r="M44" s="491"/>
      <c r="N44" s="491"/>
      <c r="O44" s="491"/>
      <c r="P44" s="491"/>
      <c r="Q44" s="491"/>
      <c r="R44" s="491"/>
      <c r="S44" s="491"/>
      <c r="T44" s="492"/>
    </row>
    <row r="45" spans="1:20">
      <c r="A45" s="494"/>
      <c r="B45" s="495"/>
      <c r="C45" s="495"/>
      <c r="D45" s="495"/>
      <c r="E45" s="495"/>
      <c r="F45" s="495"/>
      <c r="G45" s="495"/>
      <c r="H45" s="495"/>
      <c r="I45" s="495"/>
      <c r="J45" s="495"/>
      <c r="K45" s="495"/>
      <c r="L45" s="495"/>
      <c r="M45" s="495"/>
      <c r="N45" s="495"/>
      <c r="O45" s="495"/>
      <c r="P45" s="495"/>
      <c r="Q45" s="495"/>
      <c r="R45" s="495"/>
      <c r="S45" s="495"/>
      <c r="T45" s="496"/>
    </row>
    <row r="56" spans="8:13">
      <c r="M56" s="26"/>
    </row>
    <row r="57" spans="8:13">
      <c r="H57" s="298"/>
      <c r="I57" s="297"/>
      <c r="J57" s="297"/>
      <c r="K57" s="297"/>
      <c r="L57" s="297"/>
      <c r="M57" s="298"/>
    </row>
    <row r="58" spans="8:13" ht="12.75" customHeight="1">
      <c r="H58" s="298"/>
      <c r="I58" s="297"/>
      <c r="J58" s="297"/>
      <c r="K58" s="297"/>
      <c r="L58" s="297"/>
      <c r="M58" s="298"/>
    </row>
    <row r="59" spans="8:13">
      <c r="H59" s="298"/>
      <c r="I59" s="297"/>
      <c r="J59" s="297"/>
      <c r="K59" s="297"/>
      <c r="L59" s="297"/>
      <c r="M59" s="298"/>
    </row>
    <row r="60" spans="8:13">
      <c r="H60" s="298"/>
      <c r="I60" s="297"/>
      <c r="J60" s="297"/>
      <c r="K60" s="297"/>
      <c r="L60" s="297"/>
      <c r="M60" s="298"/>
    </row>
    <row r="61" spans="8:13">
      <c r="M61" s="26"/>
    </row>
    <row r="62" spans="8:13">
      <c r="M62" s="26"/>
    </row>
  </sheetData>
  <customSheetViews>
    <customSheetView guid="{14394872-1C6D-42D5-AD0E-8F152B5DEE00}" fitToPage="1">
      <selection activeCell="K51" sqref="K51"/>
      <pageMargins left="0.75" right="0.75" top="1" bottom="1" header="0.5" footer="0.5"/>
      <pageSetup paperSize="9" scale="74" orientation="landscape" r:id="rId1"/>
      <headerFooter alignWithMargins="0"/>
    </customSheetView>
  </customSheetViews>
  <mergeCells count="17">
    <mergeCell ref="A38:T45"/>
    <mergeCell ref="O27:T28"/>
    <mergeCell ref="H25:M27"/>
    <mergeCell ref="H28:M29"/>
    <mergeCell ref="H30:M32"/>
    <mergeCell ref="O29:T31"/>
    <mergeCell ref="O32:T33"/>
    <mergeCell ref="A24:F24"/>
    <mergeCell ref="H24:M24"/>
    <mergeCell ref="O24:T24"/>
    <mergeCell ref="A37:T37"/>
    <mergeCell ref="A25:F27"/>
    <mergeCell ref="A28:F30"/>
    <mergeCell ref="A31:F32"/>
    <mergeCell ref="A33:F35"/>
    <mergeCell ref="H33:M35"/>
    <mergeCell ref="O25:T26"/>
  </mergeCells>
  <phoneticPr fontId="2" type="noConversion"/>
  <pageMargins left="0.75" right="0.75" top="1" bottom="1" header="0.5" footer="0.5"/>
  <pageSetup paperSize="9" scale="74"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sheetPr>
    <pageSetUpPr fitToPage="1"/>
  </sheetPr>
  <dimension ref="A1:T61"/>
  <sheetViews>
    <sheetView topLeftCell="A16" workbookViewId="0">
      <selection activeCell="C46" sqref="C46"/>
    </sheetView>
  </sheetViews>
  <sheetFormatPr defaultRowHeight="12.75"/>
  <cols>
    <col min="7" max="7" width="1.7109375" customWidth="1"/>
    <col min="14" max="14" width="1.7109375" customWidth="1"/>
  </cols>
  <sheetData>
    <row r="1" spans="1:15">
      <c r="A1" s="1" t="str">
        <f>'1 Key Financial Performance'!A1</f>
        <v>Finance Report Month 6 2011/12 - NHS Ealing, NHS Hillingdon and NHS Hounslow</v>
      </c>
    </row>
    <row r="3" spans="1:15">
      <c r="A3" s="1" t="s">
        <v>200</v>
      </c>
      <c r="H3" s="1"/>
      <c r="M3" s="1"/>
      <c r="O3" s="1"/>
    </row>
    <row r="4" spans="1:15">
      <c r="A4" s="1"/>
      <c r="H4" s="1"/>
    </row>
    <row r="7" spans="1:15" ht="12.75" customHeight="1"/>
    <row r="8" spans="1:15" ht="12.75" customHeight="1"/>
    <row r="9" spans="1:15">
      <c r="A9" t="s">
        <v>163</v>
      </c>
    </row>
    <row r="10" spans="1:15" ht="12.75" customHeight="1"/>
    <row r="12" spans="1:15" ht="14.25" customHeight="1"/>
    <row r="13" spans="1:15" ht="12.75" customHeight="1"/>
    <row r="14" spans="1:15" ht="12.75" customHeight="1">
      <c r="A14" t="s">
        <v>19</v>
      </c>
      <c r="B14" s="13"/>
      <c r="C14" s="13"/>
      <c r="D14" s="13"/>
      <c r="E14" s="13"/>
      <c r="F14" s="13"/>
      <c r="G14" s="13"/>
    </row>
    <row r="15" spans="1:15" ht="12.75" customHeight="1">
      <c r="A15" t="s">
        <v>28</v>
      </c>
      <c r="B15" s="13"/>
      <c r="C15" s="13"/>
      <c r="D15" s="13"/>
      <c r="E15" s="13"/>
      <c r="F15" s="13"/>
      <c r="G15" s="13"/>
    </row>
    <row r="16" spans="1:15" ht="12.75" customHeight="1"/>
    <row r="17" spans="1:20" ht="12.75" customHeight="1"/>
    <row r="18" spans="1:20" ht="12.75" customHeight="1"/>
    <row r="19" spans="1:20" ht="12.75" customHeight="1">
      <c r="A19" s="26"/>
      <c r="B19" s="26"/>
      <c r="C19" s="26"/>
      <c r="D19" s="26"/>
      <c r="E19" s="26"/>
      <c r="F19" s="26"/>
    </row>
    <row r="20" spans="1:20" ht="12.75" customHeight="1">
      <c r="A20" s="26"/>
      <c r="B20" s="26"/>
      <c r="C20" s="26"/>
      <c r="D20" s="26"/>
      <c r="E20" s="26"/>
      <c r="F20" s="26"/>
    </row>
    <row r="21" spans="1:20" ht="12.75" customHeight="1">
      <c r="A21" s="26"/>
      <c r="B21" s="26"/>
      <c r="C21" s="26"/>
      <c r="D21" s="26"/>
      <c r="E21" s="26"/>
      <c r="F21" s="26"/>
    </row>
    <row r="22" spans="1:20" ht="12.75" customHeight="1">
      <c r="A22" s="26"/>
      <c r="B22" s="26"/>
      <c r="C22" s="26"/>
      <c r="D22" s="26"/>
      <c r="E22" s="26"/>
      <c r="F22" s="26"/>
    </row>
    <row r="23" spans="1:20" ht="13.5" customHeight="1" thickBot="1">
      <c r="A23" s="32"/>
      <c r="B23" s="32"/>
      <c r="C23" s="32"/>
      <c r="D23" s="32"/>
      <c r="E23" s="32"/>
      <c r="F23" s="32"/>
    </row>
    <row r="24" spans="1:20" ht="12.75" customHeight="1">
      <c r="A24" s="468" t="s">
        <v>42</v>
      </c>
      <c r="B24" s="469"/>
      <c r="C24" s="469"/>
      <c r="D24" s="469"/>
      <c r="E24" s="469"/>
      <c r="F24" s="470"/>
      <c r="H24" s="468" t="s">
        <v>42</v>
      </c>
      <c r="I24" s="469"/>
      <c r="J24" s="469"/>
      <c r="K24" s="469"/>
      <c r="L24" s="469"/>
      <c r="M24" s="470"/>
      <c r="O24" s="503" t="s">
        <v>42</v>
      </c>
      <c r="P24" s="504"/>
      <c r="Q24" s="504"/>
      <c r="R24" s="504"/>
      <c r="S24" s="504"/>
      <c r="T24" s="505"/>
    </row>
    <row r="25" spans="1:20" ht="12.75" customHeight="1">
      <c r="A25" s="342" t="s">
        <v>312</v>
      </c>
      <c r="B25" s="33"/>
      <c r="C25" s="33"/>
      <c r="D25" s="33"/>
      <c r="E25" s="33"/>
      <c r="F25" s="34"/>
      <c r="H25" s="342" t="s">
        <v>316</v>
      </c>
      <c r="I25" s="33"/>
      <c r="J25" s="33"/>
      <c r="K25" s="33"/>
      <c r="L25" s="33"/>
      <c r="M25" s="34"/>
      <c r="O25" s="343" t="s">
        <v>316</v>
      </c>
      <c r="P25" s="33"/>
      <c r="Q25" s="33"/>
      <c r="R25" s="33"/>
      <c r="S25" s="33"/>
      <c r="T25" s="317"/>
    </row>
    <row r="26" spans="1:20" ht="12.75" customHeight="1">
      <c r="A26" s="113" t="s">
        <v>313</v>
      </c>
      <c r="B26" s="264"/>
      <c r="C26" s="264"/>
      <c r="D26" s="264"/>
      <c r="E26" s="264"/>
      <c r="F26" s="114"/>
      <c r="H26" s="113" t="s">
        <v>317</v>
      </c>
      <c r="I26" s="264"/>
      <c r="J26" s="264"/>
      <c r="K26" s="264"/>
      <c r="L26" s="264"/>
      <c r="M26" s="114"/>
      <c r="O26" s="344" t="s">
        <v>318</v>
      </c>
      <c r="P26" s="264"/>
      <c r="Q26" s="264"/>
      <c r="R26" s="264"/>
      <c r="S26" s="264"/>
      <c r="T26" s="345"/>
    </row>
    <row r="27" spans="1:20" ht="12.75" customHeight="1">
      <c r="A27" s="113"/>
      <c r="B27" s="264"/>
      <c r="C27" s="264"/>
      <c r="D27" s="264"/>
      <c r="E27" s="264"/>
      <c r="F27" s="114"/>
      <c r="H27" s="113"/>
      <c r="I27" s="264"/>
      <c r="J27" s="264"/>
      <c r="K27" s="264"/>
      <c r="L27" s="264"/>
      <c r="M27" s="114"/>
      <c r="O27" s="344"/>
      <c r="P27" s="264"/>
      <c r="Q27" s="264"/>
      <c r="R27" s="264"/>
      <c r="S27" s="264"/>
      <c r="T27" s="345"/>
    </row>
    <row r="28" spans="1:20">
      <c r="A28" s="113" t="s">
        <v>314</v>
      </c>
      <c r="B28" s="264"/>
      <c r="C28" s="264"/>
      <c r="D28" s="264"/>
      <c r="E28" s="264"/>
      <c r="F28" s="114"/>
      <c r="H28" s="113" t="s">
        <v>475</v>
      </c>
      <c r="I28" s="264"/>
      <c r="J28" s="264"/>
      <c r="K28" s="264"/>
      <c r="L28" s="264"/>
      <c r="M28" s="114"/>
      <c r="O28" s="344" t="s">
        <v>477</v>
      </c>
      <c r="P28" s="264"/>
      <c r="Q28" s="264"/>
      <c r="R28" s="264"/>
      <c r="S28" s="264"/>
      <c r="T28" s="345"/>
    </row>
    <row r="29" spans="1:20" ht="16.5" customHeight="1">
      <c r="A29" s="113" t="s">
        <v>315</v>
      </c>
      <c r="B29" s="264"/>
      <c r="C29" s="264"/>
      <c r="D29" s="264"/>
      <c r="E29" s="264"/>
      <c r="F29" s="114"/>
      <c r="H29" s="113" t="s">
        <v>473</v>
      </c>
      <c r="I29" s="264"/>
      <c r="J29" s="264"/>
      <c r="K29" s="264"/>
      <c r="L29" s="264"/>
      <c r="M29" s="114"/>
      <c r="O29" s="344" t="s">
        <v>476</v>
      </c>
      <c r="P29" s="264"/>
      <c r="Q29" s="264"/>
      <c r="R29" s="264"/>
      <c r="S29" s="264"/>
      <c r="T29" s="345"/>
    </row>
    <row r="30" spans="1:20" ht="12.75" customHeight="1">
      <c r="A30" s="113"/>
      <c r="B30" s="264"/>
      <c r="C30" s="264"/>
      <c r="D30" s="264"/>
      <c r="E30" s="264"/>
      <c r="F30" s="114"/>
      <c r="H30" s="113" t="s">
        <v>321</v>
      </c>
      <c r="I30" s="264"/>
      <c r="J30" s="264"/>
      <c r="K30" s="264"/>
      <c r="L30" s="264"/>
      <c r="M30" s="114"/>
      <c r="O30" s="344"/>
      <c r="P30" s="264"/>
      <c r="Q30" s="264"/>
      <c r="R30" s="264"/>
      <c r="S30" s="264"/>
      <c r="T30" s="345"/>
    </row>
    <row r="31" spans="1:20" ht="11.25" customHeight="1">
      <c r="A31" s="113" t="s">
        <v>474</v>
      </c>
      <c r="B31" s="146"/>
      <c r="C31" s="146"/>
      <c r="D31" s="146"/>
      <c r="E31" s="146"/>
      <c r="F31" s="166"/>
      <c r="H31" s="160"/>
      <c r="I31" s="146"/>
      <c r="J31" s="146"/>
      <c r="K31" s="146"/>
      <c r="L31" s="146"/>
      <c r="M31" s="166"/>
      <c r="O31" s="344" t="s">
        <v>319</v>
      </c>
      <c r="P31" s="146"/>
      <c r="Q31" s="146"/>
      <c r="R31" s="146"/>
      <c r="S31" s="146"/>
      <c r="T31" s="346"/>
    </row>
    <row r="32" spans="1:20" ht="14.25" customHeight="1">
      <c r="A32" s="113" t="s">
        <v>472</v>
      </c>
      <c r="B32" s="146"/>
      <c r="C32" s="146"/>
      <c r="D32" s="146"/>
      <c r="E32" s="146"/>
      <c r="F32" s="166"/>
      <c r="H32" s="160"/>
      <c r="I32" s="146"/>
      <c r="J32" s="146"/>
      <c r="K32" s="146"/>
      <c r="L32" s="146"/>
      <c r="M32" s="166"/>
      <c r="O32" s="344" t="s">
        <v>320</v>
      </c>
      <c r="P32" s="146"/>
      <c r="Q32" s="146"/>
      <c r="R32" s="146"/>
      <c r="S32" s="146"/>
      <c r="T32" s="346"/>
    </row>
    <row r="33" spans="1:20" ht="12.75" customHeight="1">
      <c r="A33" s="160"/>
      <c r="B33" s="146"/>
      <c r="C33" s="146"/>
      <c r="D33" s="146"/>
      <c r="E33" s="146"/>
      <c r="F33" s="166"/>
      <c r="H33" s="160"/>
      <c r="I33" s="146"/>
      <c r="J33" s="146"/>
      <c r="K33" s="146"/>
      <c r="L33" s="146"/>
      <c r="M33" s="166"/>
      <c r="O33" s="316"/>
      <c r="P33" s="33"/>
      <c r="Q33" s="33"/>
      <c r="R33" s="33"/>
      <c r="S33" s="146"/>
      <c r="T33" s="346"/>
    </row>
    <row r="34" spans="1:20" ht="13.5" thickBot="1">
      <c r="A34" s="35"/>
      <c r="B34" s="36"/>
      <c r="C34" s="36"/>
      <c r="D34" s="36"/>
      <c r="E34" s="36"/>
      <c r="F34" s="37"/>
      <c r="H34" s="35"/>
      <c r="I34" s="36"/>
      <c r="J34" s="36"/>
      <c r="K34" s="36"/>
      <c r="L34" s="36"/>
      <c r="M34" s="37"/>
      <c r="O34" s="318"/>
      <c r="P34" s="319"/>
      <c r="Q34" s="319"/>
      <c r="R34" s="319"/>
      <c r="S34" s="319"/>
      <c r="T34" s="320"/>
    </row>
    <row r="35" spans="1:20">
      <c r="A35" s="179"/>
      <c r="B35" s="179"/>
      <c r="C35" s="179"/>
      <c r="D35" s="179"/>
      <c r="E35" s="179"/>
      <c r="F35" s="179"/>
      <c r="G35" s="156"/>
      <c r="H35" s="296"/>
    </row>
    <row r="36" spans="1:20" ht="12.75" customHeight="1">
      <c r="A36" s="471" t="s">
        <v>46</v>
      </c>
      <c r="B36" s="472"/>
      <c r="C36" s="472"/>
      <c r="D36" s="472"/>
      <c r="E36" s="472"/>
      <c r="F36" s="472"/>
      <c r="G36" s="472"/>
      <c r="H36" s="472"/>
      <c r="I36" s="472"/>
      <c r="J36" s="472"/>
      <c r="K36" s="472"/>
      <c r="L36" s="472"/>
      <c r="M36" s="472"/>
      <c r="N36" s="472"/>
      <c r="O36" s="472"/>
      <c r="P36" s="472"/>
      <c r="Q36" s="472"/>
      <c r="R36" s="472"/>
      <c r="S36" s="472"/>
      <c r="T36" s="481"/>
    </row>
    <row r="37" spans="1:20">
      <c r="A37" s="459" t="s">
        <v>479</v>
      </c>
      <c r="B37" s="491"/>
      <c r="C37" s="491"/>
      <c r="D37" s="491"/>
      <c r="E37" s="491"/>
      <c r="F37" s="491"/>
      <c r="G37" s="491"/>
      <c r="H37" s="491"/>
      <c r="I37" s="491"/>
      <c r="J37" s="491"/>
      <c r="K37" s="491"/>
      <c r="L37" s="491"/>
      <c r="M37" s="491"/>
      <c r="N37" s="491"/>
      <c r="O37" s="491"/>
      <c r="P37" s="491"/>
      <c r="Q37" s="491"/>
      <c r="R37" s="491"/>
      <c r="S37" s="491"/>
      <c r="T37" s="492"/>
    </row>
    <row r="38" spans="1:20">
      <c r="A38" s="493"/>
      <c r="B38" s="491"/>
      <c r="C38" s="491"/>
      <c r="D38" s="491"/>
      <c r="E38" s="491"/>
      <c r="F38" s="491"/>
      <c r="G38" s="491"/>
      <c r="H38" s="491"/>
      <c r="I38" s="491"/>
      <c r="J38" s="491"/>
      <c r="K38" s="491"/>
      <c r="L38" s="491"/>
      <c r="M38" s="491"/>
      <c r="N38" s="491"/>
      <c r="O38" s="491"/>
      <c r="P38" s="491"/>
      <c r="Q38" s="491"/>
      <c r="R38" s="491"/>
      <c r="S38" s="491"/>
      <c r="T38" s="492"/>
    </row>
    <row r="39" spans="1:20">
      <c r="A39" s="493"/>
      <c r="B39" s="491"/>
      <c r="C39" s="491"/>
      <c r="D39" s="491"/>
      <c r="E39" s="491"/>
      <c r="F39" s="491"/>
      <c r="G39" s="491"/>
      <c r="H39" s="491"/>
      <c r="I39" s="491"/>
      <c r="J39" s="491"/>
      <c r="K39" s="491"/>
      <c r="L39" s="491"/>
      <c r="M39" s="491"/>
      <c r="N39" s="491"/>
      <c r="O39" s="491"/>
      <c r="P39" s="491"/>
      <c r="Q39" s="491"/>
      <c r="R39" s="491"/>
      <c r="S39" s="491"/>
      <c r="T39" s="492"/>
    </row>
    <row r="40" spans="1:20">
      <c r="A40" s="493"/>
      <c r="B40" s="491"/>
      <c r="C40" s="491"/>
      <c r="D40" s="491"/>
      <c r="E40" s="491"/>
      <c r="F40" s="491"/>
      <c r="G40" s="491"/>
      <c r="H40" s="491"/>
      <c r="I40" s="491"/>
      <c r="J40" s="491"/>
      <c r="K40" s="491"/>
      <c r="L40" s="491"/>
      <c r="M40" s="491"/>
      <c r="N40" s="491"/>
      <c r="O40" s="491"/>
      <c r="P40" s="491"/>
      <c r="Q40" s="491"/>
      <c r="R40" s="491"/>
      <c r="S40" s="491"/>
      <c r="T40" s="492"/>
    </row>
    <row r="41" spans="1:20">
      <c r="A41" s="493"/>
      <c r="B41" s="491"/>
      <c r="C41" s="491"/>
      <c r="D41" s="491"/>
      <c r="E41" s="491"/>
      <c r="F41" s="491"/>
      <c r="G41" s="491"/>
      <c r="H41" s="491"/>
      <c r="I41" s="491"/>
      <c r="J41" s="491"/>
      <c r="K41" s="491"/>
      <c r="L41" s="491"/>
      <c r="M41" s="491"/>
      <c r="N41" s="491"/>
      <c r="O41" s="491"/>
      <c r="P41" s="491"/>
      <c r="Q41" s="491"/>
      <c r="R41" s="491"/>
      <c r="S41" s="491"/>
      <c r="T41" s="492"/>
    </row>
    <row r="42" spans="1:20">
      <c r="A42" s="493"/>
      <c r="B42" s="491"/>
      <c r="C42" s="491"/>
      <c r="D42" s="491"/>
      <c r="E42" s="491"/>
      <c r="F42" s="491"/>
      <c r="G42" s="491"/>
      <c r="H42" s="491"/>
      <c r="I42" s="491"/>
      <c r="J42" s="491"/>
      <c r="K42" s="491"/>
      <c r="L42" s="491"/>
      <c r="M42" s="491"/>
      <c r="N42" s="491"/>
      <c r="O42" s="491"/>
      <c r="P42" s="491"/>
      <c r="Q42" s="491"/>
      <c r="R42" s="491"/>
      <c r="S42" s="491"/>
      <c r="T42" s="492"/>
    </row>
    <row r="43" spans="1:20">
      <c r="A43" s="493"/>
      <c r="B43" s="491"/>
      <c r="C43" s="491"/>
      <c r="D43" s="491"/>
      <c r="E43" s="491"/>
      <c r="F43" s="491"/>
      <c r="G43" s="491"/>
      <c r="H43" s="491"/>
      <c r="I43" s="491"/>
      <c r="J43" s="491"/>
      <c r="K43" s="491"/>
      <c r="L43" s="491"/>
      <c r="M43" s="491"/>
      <c r="N43" s="491"/>
      <c r="O43" s="491"/>
      <c r="P43" s="491"/>
      <c r="Q43" s="491"/>
      <c r="R43" s="491"/>
      <c r="S43" s="491"/>
      <c r="T43" s="492"/>
    </row>
    <row r="44" spans="1:20">
      <c r="A44" s="494"/>
      <c r="B44" s="495"/>
      <c r="C44" s="495"/>
      <c r="D44" s="495"/>
      <c r="E44" s="495"/>
      <c r="F44" s="495"/>
      <c r="G44" s="495"/>
      <c r="H44" s="495"/>
      <c r="I44" s="495"/>
      <c r="J44" s="495"/>
      <c r="K44" s="495"/>
      <c r="L44" s="495"/>
      <c r="M44" s="495"/>
      <c r="N44" s="495"/>
      <c r="O44" s="495"/>
      <c r="P44" s="495"/>
      <c r="Q44" s="495"/>
      <c r="R44" s="495"/>
      <c r="S44" s="495"/>
      <c r="T44" s="496"/>
    </row>
    <row r="55" spans="8:13">
      <c r="M55" s="26"/>
    </row>
    <row r="56" spans="8:13">
      <c r="H56" s="298"/>
      <c r="I56" s="297"/>
      <c r="J56" s="297"/>
      <c r="K56" s="297"/>
      <c r="L56" s="297"/>
      <c r="M56" s="298"/>
    </row>
    <row r="57" spans="8:13" ht="12.75" customHeight="1">
      <c r="H57" s="298"/>
      <c r="I57" s="297"/>
      <c r="J57" s="297"/>
      <c r="K57" s="297"/>
      <c r="L57" s="297"/>
      <c r="M57" s="298"/>
    </row>
    <row r="58" spans="8:13">
      <c r="H58" s="298"/>
      <c r="I58" s="297"/>
      <c r="J58" s="297"/>
      <c r="K58" s="297"/>
      <c r="L58" s="297"/>
      <c r="M58" s="298"/>
    </row>
    <row r="59" spans="8:13">
      <c r="H59" s="298"/>
      <c r="I59" s="297"/>
      <c r="J59" s="297"/>
      <c r="K59" s="297"/>
      <c r="L59" s="297"/>
      <c r="M59" s="298"/>
    </row>
    <row r="60" spans="8:13">
      <c r="M60" s="26"/>
    </row>
    <row r="61" spans="8:13">
      <c r="M61" s="26"/>
    </row>
  </sheetData>
  <customSheetViews>
    <customSheetView guid="{14394872-1C6D-42D5-AD0E-8F152B5DEE00}" fitToPage="1">
      <pageMargins left="0.75" right="0.75" top="1" bottom="1" header="0.5" footer="0.5"/>
      <pageSetup paperSize="9" scale="74" orientation="landscape" r:id="rId1"/>
      <headerFooter alignWithMargins="0"/>
    </customSheetView>
  </customSheetViews>
  <mergeCells count="5">
    <mergeCell ref="A37:T44"/>
    <mergeCell ref="A24:F24"/>
    <mergeCell ref="H24:M24"/>
    <mergeCell ref="O24:T24"/>
    <mergeCell ref="A36:T36"/>
  </mergeCells>
  <phoneticPr fontId="2" type="noConversion"/>
  <pageMargins left="0.75" right="0.75" top="1" bottom="1" header="0.5" footer="0.5"/>
  <pageSetup paperSize="9" scale="74"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PCT Excel Sheet" ma:contentTypeID="0x010100A0FB073A89A34C1BB9B719E764ACC2240085B65981BC88F641B1BA034C05A88AFB0095791CB5CE9E0346B1F0B35E5AD702B3" ma:contentTypeVersion="3" ma:contentTypeDescription="" ma:contentTypeScope="" ma:versionID="16f4680e5cb147e40ac37fc89b6483a9">
  <xsd:schema xmlns:xsd="http://www.w3.org/2001/XMLSchema" xmlns:p="http://schemas.microsoft.com/office/2006/metadata/properties" xmlns:ns2="http://schemas.microsoft.com/sharepoint/" targetNamespace="http://schemas.microsoft.com/office/2006/metadata/properties" ma:root="true" ma:fieldsID="5ed729a7e3d8375081d5242a573251e0" ns2:_="">
    <xsd:import namespace="http://schemas.microsoft.com/sharepoint/"/>
    <xsd:element name="properties">
      <xsd:complexType>
        <xsd:sequence>
          <xsd:element name="documentManagement">
            <xsd:complexType>
              <xsd:all>
                <xsd:element ref="ns2:Information Type"/>
                <xsd:element ref="ns2:Financial Year" minOccurs="0"/>
                <xsd:element ref="ns2:Financial_x0020_Quarter" minOccurs="0"/>
                <xsd:element ref="ns2:Committees" minOccurs="0"/>
                <xsd:element ref="ns2:Sensitive" minOccurs="0"/>
                <xsd:element ref="ns2:Distribution_x0020_Scope" minOccurs="0"/>
                <xsd:element ref="ns2:External Audiences" minOccurs="0"/>
                <xsd:element ref="ns2:References" minOccurs="0"/>
              </xsd:all>
            </xsd:complexType>
          </xsd:element>
        </xsd:sequence>
      </xsd:complexType>
    </xsd:element>
  </xsd:schema>
  <xsd:schema xmlns:xsd="http://www.w3.org/2001/XMLSchema" xmlns:dms="http://schemas.microsoft.com/office/2006/documentManagement/types" targetNamespace="http://schemas.microsoft.com/sharepoint/" elementFormDefault="qualified">
    <xsd:import namespace="http://schemas.microsoft.com/office/2006/documentManagement/types"/>
    <xsd:element name="Information Type" ma:index="8" ma:displayName="Information Type" ma:description="Classify the Type of Information" ma:list="3c27920d-66e3-47f0-9708-fe66e2e5131c" ma:internalName="Information_x0020_Type" ma:readOnly="false" ma:showField="Title" ma:web="7940d272-67df-4432-b517-5786b588e334">
      <xsd:simpleType>
        <xsd:restriction base="dms:Lookup"/>
      </xsd:simpleType>
    </xsd:element>
    <xsd:element name="Financial Year" ma:index="9" nillable="true" ma:displayName="Financial Year" ma:description="Select the Appropriate Financial Year" ma:list="07be8dbf-3eda-4764-9855-c25b0613bbf2" ma:internalName="Financial_x0020_Year" ma:readOnly="false" ma:showField="Title" ma:web="7940d272-67df-4432-b517-5786b588e334">
      <xsd:simpleType>
        <xsd:restriction base="dms:Lookup"/>
      </xsd:simpleType>
    </xsd:element>
    <xsd:element name="Financial_x0020_Quarter" ma:index="10" nillable="true" ma:displayName="Financial Quarter" ma:default="" ma:description="Select the Applicable Financial Quarter" ma:format="Dropdown" ma:internalName="Financial_x0020_Quarter" ma:readOnly="false">
      <xsd:simpleType>
        <xsd:restriction base="dms:Choice">
          <xsd:enumeration value="Q1"/>
          <xsd:enumeration value="Q2"/>
          <xsd:enumeration value="Q3"/>
          <xsd:enumeration value="Q4"/>
        </xsd:restriction>
      </xsd:simpleType>
    </xsd:element>
    <xsd:element name="Committees" ma:index="11" nillable="true" ma:displayName="Committees" ma:description="Select any Associated Committees" ma:list="7206bbff-703b-4cba-a74c-7d8d4f5a113a" ma:internalName="Committees" ma:readOnly="false" ma:showField="Title" ma:web="7940d272-67df-4432-b517-5786b588e334">
      <xsd:simpleType>
        <xsd:restriction base="dms:Lookup"/>
      </xsd:simpleType>
    </xsd:element>
    <xsd:element name="Sensitive" ma:index="13" nillable="true" ma:displayName="Sensitive" ma:default="1" ma:description="Any confidential information such as Patient Identifiers, Post Codes or Contract Details" ma:internalName="Sensitive" ma:readOnly="false">
      <xsd:simpleType>
        <xsd:restriction base="dms:Boolean"/>
      </xsd:simpleType>
    </xsd:element>
    <xsd:element name="Distribution_x0020_Scope" ma:index="14" nillable="true" ma:displayName="Distribution Scope" ma:default="Team" ma:description="Define the Scope of Circulation or Publishing" ma:internalName="Distribution_x0020_Scope" ma:readOnly="false" ma:requiredMultiChoice="true">
      <xsd:complexType>
        <xsd:complexContent>
          <xsd:extension base="dms:MultiChoice">
            <xsd:sequence>
              <xsd:element name="Value" maxOccurs="unbounded" minOccurs="0" nillable="true">
                <xsd:simpleType>
                  <xsd:restriction base="dms:Choice">
                    <xsd:enumeration value="Team"/>
                    <xsd:enumeration value="All HPCT [Intranet]"/>
                    <xsd:enumeration value="Outside HPCT [Extranet]"/>
                    <xsd:enumeration value="Public [Internet]"/>
                  </xsd:restriction>
                </xsd:simpleType>
              </xsd:element>
            </xsd:sequence>
          </xsd:extension>
        </xsd:complexContent>
      </xsd:complexType>
    </xsd:element>
    <xsd:element name="External Audiences" ma:index="15" nillable="true" ma:displayName="External Audiences" ma:description="Specify any External Audiences" ma:list="060a1606-fa57-4bb1-b171-77f8d0c5096f" ma:internalName="External_x0020_Audiences" ma:readOnly="false" ma:showField="Title" ma:web="7940d272-67df-4432-b517-5786b588e334">
      <xsd:simpleType>
        <xsd:restriction base="dms:Lookup"/>
      </xsd:simpleType>
    </xsd:element>
    <xsd:element name="References" ma:index="16" nillable="true" ma:displayName="References" ma:description="Original Information Sources" ma:internalName="Referenc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7"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7E7B41-4F0B-405D-8D7C-5462A0454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F53FDAF-9C86-4E5F-AD0B-126410A20EC3}">
  <ds:schemaRefs>
    <ds:schemaRef ds:uri="http://schemas.microsoft.com/office/2006/metadata/customXsn"/>
  </ds:schemaRefs>
</ds:datastoreItem>
</file>

<file path=customXml/itemProps3.xml><?xml version="1.0" encoding="utf-8"?>
<ds:datastoreItem xmlns:ds="http://schemas.openxmlformats.org/officeDocument/2006/customXml" ds:itemID="{ADCDA1A6-7F9B-4639-A128-4D629905B6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Index</vt:lpstr>
      <vt:lpstr>1 Key Financial Performance</vt:lpstr>
      <vt:lpstr>2 I&amp;E YTD</vt:lpstr>
      <vt:lpstr>3 Risks and Outturn</vt:lpstr>
      <vt:lpstr>3 QIPP Plan</vt:lpstr>
      <vt:lpstr>4 Forecast</vt:lpstr>
      <vt:lpstr>5 NHS Acute</vt:lpstr>
      <vt:lpstr>6 Non Acute</vt:lpstr>
      <vt:lpstr>7 Primary Care</vt:lpstr>
      <vt:lpstr>8 Public Health</vt:lpstr>
      <vt:lpstr>9 Balance Sheet</vt:lpstr>
      <vt:lpstr>10 Cash</vt:lpstr>
      <vt:lpstr>11 BPPC</vt:lpstr>
      <vt:lpstr>12 Aged Debtor Analysis </vt:lpstr>
      <vt:lpstr>13 Capital Expenditure</vt:lpstr>
      <vt:lpstr>Data lookup</vt:lpstr>
      <vt:lpstr>Data download</vt:lpstr>
      <vt:lpstr>SLA data</vt:lpstr>
      <vt:lpstr>'12 Aged Debtor Analysis '!Print_Area</vt:lpstr>
      <vt:lpstr>'4 Forecast'!Print_Area</vt:lpstr>
      <vt:lpstr>'9 Balance Sheet'!Print_Area</vt:lpstr>
      <vt:lpstr>'Data lookup'!Print_Area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benclover</cp:lastModifiedBy>
  <cp:lastPrinted>2011-10-20T09:17:18Z</cp:lastPrinted>
  <dcterms:created xsi:type="dcterms:W3CDTF">2008-12-29T15:52:54Z</dcterms:created>
  <dcterms:modified xsi:type="dcterms:W3CDTF">2011-11-01T18:08:37Z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0x010100A0FB073A89A34C1BB9B719E764ACC2240085B65981BC88F641B1BA034C05A88AFB0095791CB5CE9E0346B1F0B35E5AD702B3</vt:lpwstr>
  </property>
</Properties>
</file>